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drawings/drawing2.xml" ContentType="application/vnd.openxmlformats-officedocument.drawing+xml"/>
  <Override PartName="/xl/tables/table20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C869CE4D-5374-4051-B815-F87F43FF3915}" xr6:coauthVersionLast="47" xr6:coauthVersionMax="47" xr10:uidLastSave="{00000000-0000-0000-0000-000000000000}"/>
  <bookViews>
    <workbookView xWindow="-28920" yWindow="-120" windowWidth="29040" windowHeight="15990" xr2:uid="{4E87F9C6-CE51-46B9-B3EC-6E8456AF7B68}"/>
  </bookViews>
  <sheets>
    <sheet name="ÍNDICE" sheetId="1" r:id="rId1"/>
    <sheet name="Tabla 2.1-1" sheetId="2" r:id="rId2"/>
    <sheet name="Tabla 2.1-2" sheetId="3" r:id="rId3"/>
    <sheet name="Tabla 2.1-3" sheetId="4" r:id="rId4"/>
    <sheet name="Figura 2.2-1" sheetId="7" r:id="rId5"/>
    <sheet name="Tabla 2.2-1" sheetId="8" r:id="rId6"/>
    <sheet name="Tabla 2.2-2" sheetId="5" r:id="rId7"/>
    <sheet name="Tabla 2.2-3" sheetId="9" r:id="rId8"/>
    <sheet name="Tabla 2.2-4" sheetId="10" r:id="rId9"/>
    <sheet name="Tabla 2.2-5" sheetId="11" r:id="rId10"/>
    <sheet name="Tabla 2.2-6" sheetId="12" r:id="rId11"/>
    <sheet name="Tabla 2.2-7" sheetId="14" r:id="rId12"/>
    <sheet name="Tabla 2.2-8" sheetId="13" r:id="rId13"/>
    <sheet name="Tabla 2.2-9" sheetId="15" r:id="rId14"/>
    <sheet name="Tabla 2.2-10" sheetId="16" r:id="rId15"/>
    <sheet name="Tabla 2.2-11" sheetId="17" r:id="rId16"/>
    <sheet name="Tabla 2.2-12" sheetId="18" r:id="rId17"/>
    <sheet name="Tabla 2.3-1" sheetId="19" r:id="rId18"/>
    <sheet name="Tabla 2.4-1" sheetId="20" r:id="rId19"/>
    <sheet name="Tabla 2.5-1" sheetId="21" r:id="rId20"/>
    <sheet name="Figura 2.5-1" sheetId="22" r:id="rId21"/>
    <sheet name="Tabla 2.6-1" sheetId="23" r:id="rId22"/>
    <sheet name="Tabla 2.6-2" sheetId="24" r:id="rId23"/>
    <sheet name="Tabla 2.6-3" sheetId="25" r:id="rId24"/>
    <sheet name="Tabla 2.6-4" sheetId="26" r:id="rId25"/>
    <sheet name="Tabla 2.7-1" sheetId="27" r:id="rId26"/>
  </sheets>
  <definedNames>
    <definedName name="_Hlk465852130" localSheetId="2">'Tabla 2.1-2'!#REF!</definedName>
    <definedName name="_Ref182916053" localSheetId="2">'Tabla 2.1-2'!$A$1</definedName>
    <definedName name="_Ref182917372" localSheetId="4">'Figura 2.2-1'!$A$1</definedName>
    <definedName name="_Ref182917372" localSheetId="3">'Tabla 2.1-3'!$A$1</definedName>
    <definedName name="_Ref182917372" localSheetId="5">'Tabla 2.2-1'!$A$1</definedName>
    <definedName name="_Ref182917716">#REF!</definedName>
    <definedName name="_Ref210312437" localSheetId="17">'Tabla 2.3-1'!$A$1</definedName>
    <definedName name="_Ref214627527" localSheetId="25">'Tabla 2.7-1'!$A$1</definedName>
    <definedName name="_Toc216182624" localSheetId="1">'Tabla 2.1-1'!$A$1</definedName>
    <definedName name="_Toc216182627">#REF!</definedName>
    <definedName name="_Toc216182688" localSheetId="1">'Tabla 2.1-1'!$A$1</definedName>
    <definedName name="_Toc216182689" localSheetId="2">'Tabla 2.1-2'!$A$1</definedName>
    <definedName name="_Toc216182690" localSheetId="4">'Figura 2.2-1'!$A$1</definedName>
    <definedName name="_Toc216182690" localSheetId="3">'Tabla 2.1-3'!$A$1</definedName>
    <definedName name="_Toc216182690" localSheetId="5">'Tabla 2.2-1'!$A$1</definedName>
    <definedName name="_Toc216182691" localSheetId="5">'Tabla 2.2-1'!$A$1</definedName>
    <definedName name="_Toc216182692" localSheetId="6">'Tabla 2.2-2'!$A$1</definedName>
    <definedName name="_Toc216182693" localSheetId="7">'Tabla 2.2-3'!$A$1</definedName>
    <definedName name="_Toc216182694" localSheetId="8">'Tabla 2.2-4'!$A$1</definedName>
    <definedName name="_Toc216182695" localSheetId="9">'Tabla 2.2-5'!$A$1</definedName>
    <definedName name="_Toc216182696" localSheetId="10">'Tabla 2.2-6'!$A$1</definedName>
    <definedName name="_Toc216182697" localSheetId="11">'Tabla 2.2-7'!$A$1</definedName>
    <definedName name="_Toc216182698" localSheetId="12">'Tabla 2.2-8'!$A$1</definedName>
    <definedName name="_Toc216182699" localSheetId="13">'Tabla 2.2-9'!$A$1</definedName>
    <definedName name="_Toc216182700" localSheetId="14">'Tabla 2.2-10'!$A$1</definedName>
    <definedName name="_Toc216182701" localSheetId="15">'Tabla 2.2-11'!$A$1</definedName>
    <definedName name="_Toc216182702" localSheetId="16">'Tabla 2.2-12'!$A$1</definedName>
    <definedName name="_Toc216182704" localSheetId="18">'Tabla 2.4-1'!$A$1</definedName>
    <definedName name="_Toc216182705" localSheetId="19">'Tabla 2.5-1'!$A$1</definedName>
    <definedName name="_Toc216182706" localSheetId="21">'Tabla 2.6-1'!$A$1</definedName>
    <definedName name="_Toc216182707" localSheetId="22">'Tabla 2.6-2'!$A$1</definedName>
    <definedName name="_Toc216182708" localSheetId="23">'Tabla 2.6-3'!$A$1</definedName>
    <definedName name="_Toc216182709" localSheetId="24">'Tabla 2.6-4'!$A$1</definedName>
    <definedName name="_Toc216182716" localSheetId="1">'Tabla 2.1-1'!$A$1</definedName>
    <definedName name="_Toc216182717">'Tabla 2.1-2'!$A$1</definedName>
    <definedName name="_Toc216182718" localSheetId="4">'Figura 2.2-1'!$A$1</definedName>
    <definedName name="_Toc216182718" localSheetId="3">'Tabla 2.1-3'!$A$1</definedName>
    <definedName name="_Toc216182718" localSheetId="5">'Tabla 2.2-1'!$A$1</definedName>
    <definedName name="_Toc219467319" localSheetId="4">'Figura 2.2-1'!$A$1</definedName>
    <definedName name="_Toc219467320" localSheetId="20">'Figura 2.5-1'!$A$1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B8" i="27"/>
  <c r="C8" i="27"/>
  <c r="D8" i="27"/>
  <c r="B12" i="26"/>
  <c r="C12" i="26"/>
  <c r="D12" i="26"/>
  <c r="B12" i="25"/>
  <c r="C12" i="25"/>
  <c r="D12" i="25"/>
  <c r="B12" i="24"/>
  <c r="C12" i="24"/>
  <c r="D12" i="24"/>
  <c r="B12" i="23"/>
  <c r="C12" i="23"/>
  <c r="D12" i="23"/>
  <c r="B8" i="21"/>
  <c r="B17" i="19"/>
  <c r="C17" i="19"/>
  <c r="D17" i="19"/>
  <c r="E17" i="19"/>
  <c r="B14" i="18"/>
  <c r="C14" i="18"/>
  <c r="D14" i="18"/>
  <c r="E14" i="18"/>
  <c r="B14" i="17"/>
  <c r="C14" i="17"/>
  <c r="D14" i="17"/>
  <c r="B14" i="16"/>
  <c r="C14" i="16"/>
  <c r="D14" i="16"/>
  <c r="B15" i="14"/>
  <c r="C15" i="14"/>
  <c r="D15" i="14"/>
  <c r="B15" i="13"/>
  <c r="C15" i="13"/>
  <c r="D15" i="13"/>
  <c r="E15" i="13"/>
  <c r="B15" i="12"/>
  <c r="C15" i="12"/>
  <c r="D15" i="12"/>
  <c r="B15" i="11"/>
  <c r="C15" i="11"/>
  <c r="D15" i="11"/>
  <c r="B15" i="10"/>
  <c r="C15" i="10"/>
  <c r="D15" i="10"/>
  <c r="E15" i="10"/>
  <c r="B15" i="9"/>
  <c r="C15" i="9"/>
  <c r="D15" i="9"/>
  <c r="D15" i="5"/>
  <c r="C15" i="5"/>
  <c r="B15" i="5"/>
  <c r="B15" i="8"/>
  <c r="C15" i="8"/>
  <c r="D15" i="8"/>
  <c r="B19" i="3"/>
  <c r="C19" i="3"/>
  <c r="D19" i="3"/>
  <c r="B19" i="2"/>
  <c r="C19" i="2"/>
  <c r="D19" i="2"/>
</calcChain>
</file>

<file path=xl/sharedStrings.xml><?xml version="1.0" encoding="utf-8"?>
<sst xmlns="http://schemas.openxmlformats.org/spreadsheetml/2006/main" count="462" uniqueCount="150">
  <si>
    <t>ÍNDICE</t>
  </si>
  <si>
    <t>FUENTE</t>
  </si>
  <si>
    <t>Total</t>
  </si>
  <si>
    <t>2019</t>
  </si>
  <si>
    <t>2020</t>
  </si>
  <si>
    <t>2021</t>
  </si>
  <si>
    <t>2022</t>
  </si>
  <si>
    <t>Columna1</t>
  </si>
  <si>
    <t>ir a índice</t>
  </si>
  <si>
    <t>Categorías de actividades e instalaciones</t>
  </si>
  <si>
    <t>Favorable</t>
  </si>
  <si>
    <t>Desfavorable</t>
  </si>
  <si>
    <t>Archivado</t>
  </si>
  <si>
    <t>Instalaciones de combustión</t>
  </si>
  <si>
    <t>Producción y transformación de metales</t>
  </si>
  <si>
    <t>Industrias minerales</t>
  </si>
  <si>
    <t>Industrias químicas</t>
  </si>
  <si>
    <t>Gestión de residuos</t>
  </si>
  <si>
    <t>Industrias derivadas de la madera (papel y tableros)</t>
  </si>
  <si>
    <t>Industria textil</t>
  </si>
  <si>
    <t>Industria del cuero</t>
  </si>
  <si>
    <t>Industrias agroalimentarias y explotaciones ganaderas</t>
  </si>
  <si>
    <t>Consumo disolventes orgánicos</t>
  </si>
  <si>
    <t>Industria del carbono</t>
  </si>
  <si>
    <t>Industria de conservación de la madera</t>
  </si>
  <si>
    <t>Tratamiento de aguas</t>
  </si>
  <si>
    <t>Captura de co2</t>
  </si>
  <si>
    <t>Sin tipificar</t>
  </si>
  <si>
    <t>Tabla 2.1‑1: Expedientes resueltos de Autorizaciones Ambientales Integradas (*). Provincia de Huesca. 2022</t>
  </si>
  <si>
    <t>Fuente: Instituto Aragonés de Gestión Ambiental.</t>
  </si>
  <si>
    <t xml:space="preserve"> (*). Incluye AAI+EIA - AAI - AAI Instalaciones Existentes - Modificación No sustancial AAI - Modificación Puntual AAI - Baja AAI</t>
  </si>
  <si>
    <t>Tabla 2.1‑2: Expedientes resueltos de Autorizaciones Ambientales Integradas (*). Provincia de Teruel. 2022</t>
  </si>
  <si>
    <t>Tabla 2.1‑3: Expedientes resueltos de Autorizaciones Ambientales Integradas (*). Provincia de Teruel. 2022</t>
  </si>
  <si>
    <r>
      <t>Fuente: Instituto Aragonés de Gestión Ambiental.</t>
    </r>
    <r>
      <rPr>
        <sz val="11"/>
        <color theme="1"/>
        <rFont val="Segoe UI"/>
        <family val="2"/>
      </rPr>
      <t xml:space="preserve"> </t>
    </r>
  </si>
  <si>
    <t>(*). Incluye AAI+EIA - AAI - AAI Instalaciones Existentes - Modificación No sustancial AAI - Modificación Puntual AAI - Baja AAI</t>
  </si>
  <si>
    <t>INAGA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</si>
  <si>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</si>
  <si>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</si>
  <si>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</si>
  <si>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</si>
  <si>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</si>
  <si>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</si>
  <si>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</si>
  <si>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</si>
  <si>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</si>
  <si>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Figura  2.2‑1: Evolución del número de Declaraciones de Impacto Ambiental en Aragón resueltas por la Comunidad Autónoma. Años 2010 a 2022.</t>
  </si>
  <si>
    <t>Fuente: Instituto Aragonés de Gestión Ambiental</t>
  </si>
  <si>
    <t>Agricultura,silvicultura,acuicultura y ganadería</t>
  </si>
  <si>
    <t>Industria extractiva</t>
  </si>
  <si>
    <t>Industria energética</t>
  </si>
  <si>
    <t>Industria siderúrgica y del mineral. Producción y elaboración de metales</t>
  </si>
  <si>
    <t>Industria quimíca, petroquímica, textil y papelera</t>
  </si>
  <si>
    <t>Proyectos de infraestructuras</t>
  </si>
  <si>
    <t>Proyectos de ingeniería hidráulica y de gestión del agua</t>
  </si>
  <si>
    <t>Proyectos de tratamiento y gestión de residuos</t>
  </si>
  <si>
    <t>Industrias de productos alimenticios</t>
  </si>
  <si>
    <t>Otros proyectos</t>
  </si>
  <si>
    <t>Tabla 2.2‑1: Número de Declaraciones de Impacto Ambiental anexo I formuladas en la provincia de Huesca. 2022</t>
  </si>
  <si>
    <t>Agricultura, silvicultura, acuicultura y ganadería</t>
  </si>
  <si>
    <t>Industria química, petroquímica, textil y papelera</t>
  </si>
  <si>
    <t>Tabla 2.2‑2: Número de Declaraciones de Impacto Ambiental anexo I formuladas en la Provincia de Teruel. 2022</t>
  </si>
  <si>
    <t>Tabla 2.2‑3: Número de Declaraciones de Impacto ambiental anexo I formuladas en la provincia de Zaragoza. 2022</t>
  </si>
  <si>
    <t>Tabla 2.2‑4: Número de Declaraciones de Impacto Ambiental anexo I formuladas en Aragón. 2022</t>
  </si>
  <si>
    <t>Tabla 2.2‑5: Número de evaluaciones de impacto ambiental incorporadas en Autorizaciones Ambientales Integradas. Tipología 02A. Provincia de Huesca. 2022</t>
  </si>
  <si>
    <t>Tabla 2.2‑6: Número de evaluaciones de impacto ambiental incorporadas en Autorizaciones Ambientales Integradas. Tipología 02A. Provincia de Teruel. 2022</t>
  </si>
  <si>
    <t>Tabla 2.2‑8: Número de evaluaciones de impacto ambiental incorporadas en Autorizaciones Ambientales Integradas. Tipología 02A. Aragón. 2022</t>
  </si>
  <si>
    <t>Tabla 2.2‑7: Número de evaluaciones de impacto ambiental incorporadas en Autorizaciones Ambientales Integradas. Tipología 02A. Provincia de Zaragoza. 2022</t>
  </si>
  <si>
    <t xml:space="preserve">Favorable </t>
  </si>
  <si>
    <t>Archivo</t>
  </si>
  <si>
    <t>Tabla 2.2‑9: Evaluaciones de Impacto Ambiental Simplificada resueltas en la provincia de Huesca. Año 2022</t>
  </si>
  <si>
    <t>Tabla 2.2‑10: Evaluaciones de Impacto Ambiental Simplificada resueltas en la provincia de Teruel. Año 2022</t>
  </si>
  <si>
    <t>Tabla 2.2‑11: Evaluaciones de Impacto Ambiental Simplificada resueltas en la provincia de Zaragoza. Año 2022</t>
  </si>
  <si>
    <t>Tabla 2.2‑12: Evaluaciones de Impacto Ambiental Simplificada resueltas en Aragón. Año 2022</t>
  </si>
  <si>
    <t>Agricultura y ganadería</t>
  </si>
  <si>
    <t>Silvicultura</t>
  </si>
  <si>
    <t>Acuicultura y pesca</t>
  </si>
  <si>
    <t>Energía</t>
  </si>
  <si>
    <t>Industria</t>
  </si>
  <si>
    <t>Minería</t>
  </si>
  <si>
    <t>Transporte</t>
  </si>
  <si>
    <t>Gestión de recursos hídricos</t>
  </si>
  <si>
    <t>Telecomunicaciones</t>
  </si>
  <si>
    <t>Turismo</t>
  </si>
  <si>
    <t>Ordenación del territorio urbano y rural</t>
  </si>
  <si>
    <t>Planeamiento urbanístico general, incluidas sus revisiones</t>
  </si>
  <si>
    <t>Tabla 2.3‑1: Número de expedientes resueltos de Evaluación Ambiental de Planes y Programas. Año 2022</t>
  </si>
  <si>
    <t>Organizaciones registradas</t>
  </si>
  <si>
    <t>Número de registro</t>
  </si>
  <si>
    <t>Universidad de San Jorge</t>
  </si>
  <si>
    <t>ESAR0000025</t>
  </si>
  <si>
    <t>SUMELZO, S.A.</t>
  </si>
  <si>
    <t>ESAR0000028</t>
  </si>
  <si>
    <t>Ferroatlantica del Cinca, s.l.</t>
  </si>
  <si>
    <t>ESAR0000023</t>
  </si>
  <si>
    <t>Empresa de transformación agraria s.a.</t>
  </si>
  <si>
    <t>ESAR0000018</t>
  </si>
  <si>
    <t>Fundación San Valero</t>
  </si>
  <si>
    <t>ESAR0000019</t>
  </si>
  <si>
    <t>ERCROS</t>
  </si>
  <si>
    <t>ESAR0000013</t>
  </si>
  <si>
    <t>Avanza movilidad integral, s.l.</t>
  </si>
  <si>
    <t>ESAR0000026</t>
  </si>
  <si>
    <t>Tabla 2.4‑1: Listado de organizaciones registradas. EMAS. Año 2022</t>
  </si>
  <si>
    <t>Autoridad Inspectora</t>
  </si>
  <si>
    <t>Número de inspecciones</t>
  </si>
  <si>
    <t>Dirección General de Calidad y Seguridad  Alimentaria</t>
  </si>
  <si>
    <t>Servicio Provincial de Zaragoza</t>
  </si>
  <si>
    <t>Servicio Provincial de Huesca</t>
  </si>
  <si>
    <t>Servicio Provincial de Teruel</t>
  </si>
  <si>
    <t>Tabla 2.5‑1: Distribución de número de inspecciones por autoridad inspectora. Año 2022</t>
  </si>
  <si>
    <t>Fuente: Dirección General de Calidad Ambiental</t>
  </si>
  <si>
    <t>Año 2022</t>
  </si>
  <si>
    <t>%</t>
  </si>
  <si>
    <t>A.A.I instalaciones ganaderas</t>
  </si>
  <si>
    <t>A.A.I instalaciones industriales</t>
  </si>
  <si>
    <t xml:space="preserve">Gestores de residuos </t>
  </si>
  <si>
    <t>Denuncia, accidentes</t>
  </si>
  <si>
    <t>Planes de restauración minera</t>
  </si>
  <si>
    <t>Otras tipologias</t>
  </si>
  <si>
    <t>Figura  2.5‑1: Distribución de inspecciones por tipología. Año 2022</t>
  </si>
  <si>
    <t>Materia</t>
  </si>
  <si>
    <t>Número de denuncias presentadas</t>
  </si>
  <si>
    <t>Número de expedientes incoados (*)</t>
  </si>
  <si>
    <t>Número de resoluciones dictadas (*)</t>
  </si>
  <si>
    <t>Biodiversidad</t>
  </si>
  <si>
    <t>Caza</t>
  </si>
  <si>
    <t xml:space="preserve">Espacios Naturales Protegidos </t>
  </si>
  <si>
    <t>Impacto Ambiental</t>
  </si>
  <si>
    <t>Montes e incendios forestales</t>
  </si>
  <si>
    <t>Pesca</t>
  </si>
  <si>
    <t>Residuos</t>
  </si>
  <si>
    <t>Vías pecuarias</t>
  </si>
  <si>
    <t>Tabla 2.6‑1: Denuncias y expedientes incoados por el Servicio Provincial de Huesca</t>
  </si>
  <si>
    <t>(*) Los expedientes y resoluciones pueden corresponder a denuncias presentadas en años anteriores.</t>
  </si>
  <si>
    <t>Fuente: Servicio Provincial de Huesca del Departamento de Agricultura, Ganadería y Medio Ambiente</t>
  </si>
  <si>
    <t>Tabla 2.6‑2: Denuncias y expedientes incoados por el Servicio Provincial de Teruel</t>
  </si>
  <si>
    <t>Fuente: Servicio Provincial de Teruel del Departamento de Agricultura, Ganadería y Medio Ambiente</t>
  </si>
  <si>
    <t>Tabla 2.6‑3: Denuncias y expedientes incoados por el Servicio Provincial de Zaragoza</t>
  </si>
  <si>
    <t>Fuente: Servicio Provincial de Zaragoza del Departamento de Agricultura, Ganadería y Medio Ambiente</t>
  </si>
  <si>
    <t>Tabla 2.6‑4: Denuncias y expedientes incoados en Aragón</t>
  </si>
  <si>
    <t>Fuente: Servicios Provinciales del Departamento de Agricultura, Ganadería y Medio Ambiente</t>
  </si>
  <si>
    <t>Área</t>
  </si>
  <si>
    <t xml:space="preserve">Tramitados </t>
  </si>
  <si>
    <t xml:space="preserve">Resueltos </t>
  </si>
  <si>
    <t xml:space="preserve">% Expedientes respecto del total </t>
  </si>
  <si>
    <t>Montes, caza y pesca</t>
  </si>
  <si>
    <t>Biodiversidad y Medio Natural</t>
  </si>
  <si>
    <t>Medio Ambiente Industrial</t>
  </si>
  <si>
    <t>Secretaría General</t>
  </si>
  <si>
    <t>Tabla 2.7‑1: Datos de tramitación de expedientes por áreas.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</si>
</sst>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7" x14ac:knownFonts="1">
    <font>
      <sz val="11"/>
      <color theme="1"/>
      <name val="Segoe UI"/>
      <family val="2"/>
    </font>
    <font>
      <i/>
      <sz val="9"/>
      <color rgb="FF0E2841"/>
      <name val="Segoe UI"/>
      <family val="2"/>
    </font>
    <font>
      <u/>
      <sz val="11"/>
      <color theme="10"/>
      <name val="Segoe UI"/>
      <family val="2"/>
    </font>
    <font>
      <sz val="11"/>
      <color theme="0"/>
      <name val="Segoe UI"/>
      <family val="2"/>
    </font>
    <font>
      <u/>
      <sz val="11"/>
      <color theme="0"/>
      <name val="Segoe UI"/>
      <family val="2"/>
    </font>
    <font>
      <sz val="11"/>
      <color theme="1"/>
      <name val="Segoe UI"/>
      <family val="2"/>
    </font>
    <font>
      <sz val="8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vertical="center"/>
    </xf>
    <xf numFmtId="0" fontId="2" fillId="0" borderId="0" xfId="1"/>
    <xf numFmtId="0" fontId="3" fillId="2" borderId="0" xfId="0" applyFont="1" applyFill="1"/>
    <xf numFmtId="0" fontId="4" fillId="2" borderId="0" xfId="1" applyFont="1" applyFill="1"/>
    <xf numFmtId="0" fontId="1" fillId="0" borderId="1" xfId="0" applyFont="1" applyBorder="1" applyAlignment="1">
      <alignment vertical="center"/>
    </xf>
    <xf numFmtId="164" fontId="0" fillId="0" borderId="0" xfId="2" applyNumberFormat="1" applyFont="1"/>
    <xf numFmtId="164" fontId="0" fillId="0" borderId="0" xfId="0" applyNumberFormat="1"/>
    <xf numFmtId="0" fontId="0" fillId="0" borderId="0" xfId="2" applyNumberFormat="1" applyFont="1"/>
  </cellXfs>
  <cellStyles count="3">
    <cellStyle name="Hipervínculo" xfId="1" builtinId="8"/>
    <cellStyle name="Normal" xfId="0" builtinId="0"/>
    <cellStyle name="Porcentaje" xfId="2" builtinId="5"/>
  </cellStyles>
  <dxfs count="6">
    <dxf>
      <numFmt numFmtId="164" formatCode="0.0%"/>
    </dxf>
    <dxf>
      <numFmt numFmtId="164" formatCode="0.0%"/>
    </dxf>
    <dxf>
      <numFmt numFmtId="0" formatCode="General"/>
    </dxf>
    <dxf>
      <numFmt numFmtId="0" formatCode="General"/>
    </dxf>
    <dxf>
      <fill>
        <patternFill>
          <bgColor theme="2"/>
        </patternFill>
      </fill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horizontal style="thin">
          <color theme="0" tint="-0.499984740745262"/>
        </horizontal>
      </border>
    </dxf>
  </dxfs>
  <tableStyles count="1" defaultTableStyle="TableStyleMedium2" defaultPivotStyle="PivotStyleLight16">
    <tableStyle name="Estilo de tabla 1" pivot="0" count="2" xr9:uid="{A939BD6A-4358-4BE1-A81A-F77ACF8AA742}">
      <tableStyleElement type="wholeTable" dxfId="5"/>
      <tableStyleElement type="headerRow" dxfId="4"/>
    </tableStyle>
  </tableStyles>
  <colors>
    <mruColors>
      <color rgb="FF56C0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579348973130936E-2"/>
          <c:y val="6.7294956006146905E-2"/>
          <c:w val="0.90776842474531116"/>
          <c:h val="0.840581692948211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'Figura 2.2-1'!$A$4</c:f>
              <c:strCache>
                <c:ptCount val="1"/>
                <c:pt idx="0">
                  <c:v>INAGA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'Figura 2.2-1'!$B$3:$N$3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'Figura 2.2-1'!$B$4:$N$4</c:f>
              <c:numCache>
                <c:formatCode>General</c:formatCode>
                <c:ptCount val="13"/>
                <c:pt idx="0">
                  <c:v>147</c:v>
                </c:pt>
                <c:pt idx="1">
                  <c:v>195</c:v>
                </c:pt>
                <c:pt idx="2">
                  <c:v>127</c:v>
                </c:pt>
                <c:pt idx="3">
                  <c:v>104</c:v>
                </c:pt>
                <c:pt idx="4">
                  <c:v>153</c:v>
                </c:pt>
                <c:pt idx="5">
                  <c:v>112</c:v>
                </c:pt>
                <c:pt idx="6">
                  <c:v>132</c:v>
                </c:pt>
                <c:pt idx="7">
                  <c:v>319</c:v>
                </c:pt>
                <c:pt idx="8">
                  <c:v>439</c:v>
                </c:pt>
                <c:pt idx="9">
                  <c:v>375</c:v>
                </c:pt>
                <c:pt idx="10">
                  <c:v>187</c:v>
                </c:pt>
                <c:pt idx="11">
                  <c:v>339</c:v>
                </c:pt>
                <c:pt idx="12">
                  <c:v>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17-4B83-B391-8EBF1119838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782379040"/>
        <c:axId val="1"/>
      </c:barChart>
      <c:catAx>
        <c:axId val="78237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ES"/>
          </a:p>
        </c:txPr>
        <c:crossAx val="1"/>
        <c:crosses val="autoZero"/>
        <c:auto val="0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ES"/>
          </a:p>
        </c:txPr>
        <c:crossAx val="782379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5848162554399229"/>
          <c:y val="3.4965114558554049E-2"/>
          <c:w val="0.69951589912842915"/>
          <c:h val="0.8601418181404295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'Figura 2.5-1'!$B$3</c:f>
              <c:strCache>
                <c:ptCount val="1"/>
                <c:pt idx="0">
                  <c:v>Año 2022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2.5-1'!$A$4:$A$9</c:f>
              <c:strCache>
                <c:ptCount val="6"/>
                <c:pt idx="0">
                  <c:v>A.A.I instalaciones ganaderas</c:v>
                </c:pt>
                <c:pt idx="1">
                  <c:v>A.A.I instalaciones industriales</c:v>
                </c:pt>
                <c:pt idx="2">
                  <c:v>Gestores de residuos </c:v>
                </c:pt>
                <c:pt idx="3">
                  <c:v>Denuncia, accidentes</c:v>
                </c:pt>
                <c:pt idx="4">
                  <c:v>Planes de restauración minera</c:v>
                </c:pt>
                <c:pt idx="5">
                  <c:v>Otras tipologias</c:v>
                </c:pt>
              </c:strCache>
            </c:strRef>
          </c:cat>
          <c:val>
            <c:numRef>
              <c:f>'Figura 2.5-1'!$B$4:$B$9</c:f>
              <c:numCache>
                <c:formatCode>General</c:formatCode>
                <c:ptCount val="6"/>
                <c:pt idx="0">
                  <c:v>682</c:v>
                </c:pt>
                <c:pt idx="1">
                  <c:v>118</c:v>
                </c:pt>
                <c:pt idx="2">
                  <c:v>95</c:v>
                </c:pt>
                <c:pt idx="3">
                  <c:v>5</c:v>
                </c:pt>
                <c:pt idx="4">
                  <c:v>20</c:v>
                </c:pt>
                <c:pt idx="5">
                  <c:v>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A2-4E9F-87B2-7C6489E22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7359480"/>
        <c:axId val="1"/>
      </c:barChart>
      <c:catAx>
        <c:axId val="1073594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ES"/>
          </a:p>
        </c:txPr>
        <c:crossAx val="107359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13</xdr:col>
      <xdr:colOff>266700</xdr:colOff>
      <xdr:row>23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5</xdr:col>
      <xdr:colOff>408940</xdr:colOff>
      <xdr:row>23</xdr:row>
      <xdr:rowOff>130175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1957069-698F-44DF-AA9E-C91EE98F8EBC}" name="Tabla4" displayName="Tabla4" ref="A3:D19" totalsRowCount="1">
  <autoFilter ref="A3:D18" xr:uid="{61957069-698F-44DF-AA9E-C91EE98F8EBC}"/>
  <tableColumns count="4">
    <tableColumn id="1" xr3:uid="{5E4C2D9D-CF3F-4731-91C8-911CD7712FCB}" name="Categorías de actividades e instalaciones" totalsRowLabel="Total"/>
    <tableColumn id="3" xr3:uid="{1738674E-844B-462E-AE92-8ACB5F95E28F}" name="Favorable" totalsRowFunction="sum"/>
    <tableColumn id="4" xr3:uid="{EF5E8899-D7FE-4F5C-8C3F-8CD95B9F496E}" name="Desfavorable" totalsRowFunction="sum"/>
    <tableColumn id="5" xr3:uid="{60DF131D-81C6-4AA5-A743-718F34EE9710}" name="Archivado" totalsRowFunction="sum"/>
  </tableColumns>
  <tableStyleInfo name="Estilo de tabla 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8E061539-8C66-4A78-AE90-12649D10800F}" name="Tabla17" displayName="Tabla17" ref="A3:D15" totalsRowCount="1">
  <autoFilter ref="A3:D14" xr:uid="{8E061539-8C66-4A78-AE90-12649D10800F}"/>
  <tableColumns count="4">
    <tableColumn id="1" xr3:uid="{0AABED85-EEDA-4C9C-93A5-579A94EC76D9}" name="Categorías de actividades e instalaciones" totalsRowLabel="Total"/>
    <tableColumn id="2" xr3:uid="{B05FD135-4B12-4268-AB91-0E380073F379}" name="Favorable" totalsRowFunction="sum"/>
    <tableColumn id="3" xr3:uid="{DCDA7120-4F53-43F5-9C23-63BDA05AC340}" name="Desfavorable" totalsRowFunction="sum"/>
    <tableColumn id="4" xr3:uid="{9F3AEADB-51CF-4806-B8DF-540C5508144D}" name="Archivado" totalsRowFunction="sum"/>
  </tableColumns>
  <tableStyleInfo name="Estilo de tabla 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AA5E5294-4985-4C40-BB22-68A69785B309}" name="Tabla19" displayName="Tabla19" ref="A3:D15" totalsRowCount="1">
  <autoFilter ref="A3:D14" xr:uid="{AA5E5294-4985-4C40-BB22-68A69785B309}"/>
  <tableColumns count="4">
    <tableColumn id="1" xr3:uid="{7A43AB6F-280C-4237-8421-493624CE741A}" name="Categorías de actividades e instalaciones" totalsRowLabel="Total"/>
    <tableColumn id="2" xr3:uid="{6000D981-70F1-4F3B-9555-88C10EC4A2EC}" name="Favorable" totalsRowFunction="sum"/>
    <tableColumn id="3" xr3:uid="{2B1ABF8F-CD66-44FA-B225-C5F3BDFCC905}" name="Desfavorable" totalsRowFunction="sum"/>
    <tableColumn id="4" xr3:uid="{BA9FE0C1-5346-4EDE-8399-5ED4F800A169}" name="Archivado" totalsRowFunction="sum"/>
  </tableColumns>
  <tableStyleInfo name="Estilo de tabla 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114E6799-DA40-40C6-A7A9-395D1AD01EEC}" name="Tabla18" displayName="Tabla18" ref="A3:E15" totalsRowCount="1">
  <autoFilter ref="A3:E14" xr:uid="{114E6799-DA40-40C6-A7A9-395D1AD01EEC}"/>
  <tableColumns count="5">
    <tableColumn id="1" xr3:uid="{6E44DB7F-0EFC-4BB4-BECC-CE0CF7627081}" name="Categorías de actividades e instalaciones" totalsRowLabel="Total"/>
    <tableColumn id="2" xr3:uid="{CDF6532C-13BD-4318-AE48-A812F63B1A3B}" name="Favorable" totalsRowFunction="sum"/>
    <tableColumn id="3" xr3:uid="{08A74C53-73DF-4E75-9FCD-7D436BF07969}" name="Desfavorable" totalsRowFunction="sum"/>
    <tableColumn id="4" xr3:uid="{6E7A00A1-3D06-42FB-A862-5D99628A76D2}" name="Archivado" totalsRowFunction="sum"/>
    <tableColumn id="5" xr3:uid="{62245424-5E14-44DE-9842-A626EC0E7DD8}" name="Total" totalsRowFunction="sum"/>
  </tableColumns>
  <tableStyleInfo name="Estilo de tabla 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E8C20B40-D9F9-4852-84AE-3033ACA2C969}" name="Tabla20" displayName="Tabla20" ref="A3:D14" totalsRowShown="0">
  <autoFilter ref="A3:D14" xr:uid="{E8C20B40-D9F9-4852-84AE-3033ACA2C969}"/>
  <tableColumns count="4">
    <tableColumn id="1" xr3:uid="{42D13C6E-6027-44BC-9DBB-2769DC61383A}" name="Categorías de actividades e instalaciones"/>
    <tableColumn id="2" xr3:uid="{FBB31A30-B331-402F-99B6-182EE20D8CDC}" name="Favorable "/>
    <tableColumn id="3" xr3:uid="{5BC73054-D788-4C8C-B728-B46F305F4703}" name="Desfavorable"/>
    <tableColumn id="4" xr3:uid="{C29E5A72-7A17-4012-9716-7FDA69EF77F8}" name="Archivo"/>
  </tableColumns>
  <tableStyleInfo name="Estilo de tabla 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D263A321-FE66-4ABE-B3F5-77CEC7347DA2}" name="Tabla21" displayName="Tabla21" ref="A3:D14" totalsRowCount="1">
  <autoFilter ref="A3:D13" xr:uid="{D263A321-FE66-4ABE-B3F5-77CEC7347DA2}"/>
  <tableColumns count="4">
    <tableColumn id="1" xr3:uid="{D98B3D0D-A95A-4871-8EEB-5DC25CB79F78}" name="Categorías de actividades e instalaciones" totalsRowLabel="Total"/>
    <tableColumn id="2" xr3:uid="{E47A6908-5F9B-432C-8560-245F8D789CE4}" name="Favorable " totalsRowFunction="sum"/>
    <tableColumn id="3" xr3:uid="{3FA56827-B852-425D-A11F-D443BE992012}" name="Desfavorable" totalsRowFunction="sum"/>
    <tableColumn id="4" xr3:uid="{A1B08EB1-F45A-462A-9295-A1906E8D59C2}" name="Archivo" totalsRowFunction="sum"/>
  </tableColumns>
  <tableStyleInfo name="Estilo de tabla 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B2B7A671-4BBA-4876-B488-1638D38DE59D}" name="Tabla22" displayName="Tabla22" ref="A3:D14" totalsRowCount="1">
  <autoFilter ref="A3:D13" xr:uid="{B2B7A671-4BBA-4876-B488-1638D38DE59D}"/>
  <tableColumns count="4">
    <tableColumn id="1" xr3:uid="{7361F440-1C14-4E8F-A0E2-2BFF1736E310}" name="Categorías de actividades e instalaciones" totalsRowLabel="Total"/>
    <tableColumn id="2" xr3:uid="{3BA258B9-3D2F-4DF9-83FB-130E5552F51A}" name="Favorable " totalsRowFunction="sum"/>
    <tableColumn id="3" xr3:uid="{A4068F1F-890F-434F-AE31-FEA6D8B37D19}" name="Desfavorable" totalsRowFunction="sum"/>
    <tableColumn id="4" xr3:uid="{748252BA-3267-45F3-A923-604D4C8C5357}" name="Archivo" totalsRowFunction="sum"/>
  </tableColumns>
  <tableStyleInfo name="Estilo de tabla 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BB6E4C90-3216-46E8-A7ED-59E258182815}" name="Tabla23" displayName="Tabla23" ref="A3:E14" totalsRowCount="1">
  <autoFilter ref="A3:E13" xr:uid="{BB6E4C90-3216-46E8-A7ED-59E258182815}"/>
  <tableColumns count="5">
    <tableColumn id="1" xr3:uid="{5FADA6EA-AEDE-44B7-B384-C27636445D40}" name="Categorías de actividades e instalaciones" totalsRowLabel="Total"/>
    <tableColumn id="2" xr3:uid="{DC0F25A2-7529-4ED9-8954-5F75759F7261}" name="Favorable " totalsRowFunction="sum"/>
    <tableColumn id="3" xr3:uid="{D6BEC8BF-122D-4B59-B0F7-7649B4941D89}" name="Desfavorable" totalsRowFunction="sum"/>
    <tableColumn id="4" xr3:uid="{FE3B9F6C-576C-4507-8BE2-86F5D2A696A0}" name="Archivo" totalsRowFunction="sum"/>
    <tableColumn id="5" xr3:uid="{6306BDA7-1510-4EFB-97D7-5EC1E3DCC87F}" name="Total" totalsRowFunction="sum"/>
  </tableColumns>
  <tableStyleInfo name="Estilo de tabla 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AEFF3055-2C3C-421E-86E7-BEE2B7E5710B}" name="Tabla24" displayName="Tabla24" ref="A3:E17" totalsRowCount="1">
  <autoFilter ref="A3:E16" xr:uid="{AEFF3055-2C3C-421E-86E7-BEE2B7E5710B}"/>
  <tableColumns count="5">
    <tableColumn id="1" xr3:uid="{562FFFD1-B074-4DEC-AC5A-B029A885E680}" name="Categorías de actividades e instalaciones" totalsRowLabel="Total"/>
    <tableColumn id="2" xr3:uid="{3F7912BE-7404-480D-BA4A-97899A3DD7E9}" name="Favorable" totalsRowFunction="sum"/>
    <tableColumn id="3" xr3:uid="{D25DCD8D-D0CF-43F6-A572-DD549720FBC6}" name="Desfavorable" totalsRowFunction="sum"/>
    <tableColumn id="4" xr3:uid="{939F8F5B-4ED2-47BA-9DBA-2B1C1CA54EFE}" name="Archivo" totalsRowFunction="sum"/>
    <tableColumn id="5" xr3:uid="{479EA4CB-803D-4653-A57F-57E07E45962B}" name="Total" totalsRowFunction="sum"/>
  </tableColumns>
  <tableStyleInfo name="Estilo de tabla 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2778035F-F0EA-4BF4-BA77-37787DAFE18C}" name="Tabla25" displayName="Tabla25" ref="A3:B10" totalsRowShown="0">
  <autoFilter ref="A3:B10" xr:uid="{2778035F-F0EA-4BF4-BA77-37787DAFE18C}"/>
  <tableColumns count="2">
    <tableColumn id="1" xr3:uid="{D8327A5E-9B5F-4CC7-9223-89EA3DD88664}" name="Organizaciones registradas"/>
    <tableColumn id="2" xr3:uid="{3CC0A46B-97AF-4A17-A44D-80B323F17B04}" name="Número de registro"/>
  </tableColumns>
  <tableStyleInfo name="Estilo de tabla 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F2D5DAA8-851F-4AD0-8AA3-BE67E58D216B}" name="Tabla26" displayName="Tabla26" ref="A3:B8" totalsRowCount="1">
  <autoFilter ref="A3:B7" xr:uid="{F2D5DAA8-851F-4AD0-8AA3-BE67E58D216B}"/>
  <tableColumns count="2">
    <tableColumn id="1" xr3:uid="{A512C083-2C44-482C-A483-F45C182A367E}" name="Autoridad Inspectora" totalsRowLabel="Total"/>
    <tableColumn id="2" xr3:uid="{1DF66C0B-BA45-474E-8D02-FAE9F709D122}" name="Número de inspecciones" totalsRowFunction="sum"/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5A6AD9A-95E9-4AB2-BB28-EF3179FB4255}" name="Tabla5" displayName="Tabla5" ref="A3:D19" totalsRowCount="1">
  <autoFilter ref="A3:D18" xr:uid="{05A6AD9A-95E9-4AB2-BB28-EF3179FB4255}"/>
  <tableColumns count="4">
    <tableColumn id="1" xr3:uid="{65C36677-48DA-4478-9CF8-A7055EC85FDC}" name="Categorías de actividades e instalaciones" totalsRowLabel="Total"/>
    <tableColumn id="3" xr3:uid="{6553A528-5709-4445-8100-0D216A9965BD}" name="Favorable" totalsRowFunction="sum"/>
    <tableColumn id="4" xr3:uid="{6507D514-1DA4-4881-8D5C-1CA06C4D4F00}" name="Desfavorable" totalsRowFunction="sum"/>
    <tableColumn id="5" xr3:uid="{A68BFA74-ABB4-4335-9DE0-2486ED4AA0B4}" name="Archivado" totalsRowFunction="sum"/>
  </tableColumns>
  <tableStyleInfo name="Estilo de tabla 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369C9941-CD06-4470-8F9B-208BB208D157}" name="Tabla27" displayName="Tabla27" ref="A3:C9" totalsRowShown="0">
  <autoFilter ref="A3:C9" xr:uid="{369C9941-CD06-4470-8F9B-208BB208D157}"/>
  <tableColumns count="3">
    <tableColumn id="1" xr3:uid="{2FA1F88D-F49D-4D24-B309-D38BEDECA66E}" name="Columna1"/>
    <tableColumn id="2" xr3:uid="{B8F4D616-023B-4FB5-BD3C-85229D854AA6}" name="Año 2022"/>
    <tableColumn id="3" xr3:uid="{DEE9AB8E-DA6A-46D3-8BBA-802267EA375C}" name="%"/>
  </tableColumns>
  <tableStyleInfo name="Estilo de tabla 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818B725C-07AF-437A-A42F-3E4A3D126EAC}" name="Tabla28" displayName="Tabla28" ref="A3:D12" totalsRowCount="1">
  <autoFilter ref="A3:D11" xr:uid="{818B725C-07AF-437A-A42F-3E4A3D126EAC}"/>
  <tableColumns count="4">
    <tableColumn id="1" xr3:uid="{DA187D6E-51A7-44B3-80BA-1BB94C7A142A}" name="Materia" totalsRowLabel="Total"/>
    <tableColumn id="2" xr3:uid="{D6348915-3D58-49C1-985F-A7496AF7710B}" name="Número de denuncias presentadas" totalsRowFunction="sum"/>
    <tableColumn id="3" xr3:uid="{E92984B2-295E-4952-BAEE-FE319E905130}" name="Número de expedientes incoados (*)" totalsRowFunction="sum"/>
    <tableColumn id="4" xr3:uid="{5919E9D3-C4D5-42FB-A8E2-85957A524840}" name="Número de resoluciones dictadas (*)" totalsRowFunction="sum"/>
  </tableColumns>
  <tableStyleInfo name="Estilo de tabla 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F77BBEEE-E71F-47B8-B5DB-62F4794EC70C}" name="Tabla29" displayName="Tabla29" ref="A3:D12" totalsRowCount="1">
  <autoFilter ref="A3:D11" xr:uid="{F77BBEEE-E71F-47B8-B5DB-62F4794EC70C}"/>
  <tableColumns count="4">
    <tableColumn id="1" xr3:uid="{A9B9E27D-D73D-40A1-9317-24016083A825}" name="Materia" totalsRowLabel="Total"/>
    <tableColumn id="2" xr3:uid="{36D6A178-2B34-4C0C-853D-6AC995202990}" name="Número de denuncias presentadas" totalsRowFunction="sum"/>
    <tableColumn id="3" xr3:uid="{3B5E09BC-6FE7-49EB-B6D8-AD9B14357C6E}" name="Número de expedientes incoados (*)" totalsRowFunction="sum"/>
    <tableColumn id="4" xr3:uid="{60346F1B-E095-4812-8CB0-797CDF27EED2}" name="Número de resoluciones dictadas (*)" totalsRowFunction="sum"/>
  </tableColumns>
  <tableStyleInfo name="Estilo de tabla 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D87C521D-6D6C-4C3C-83DC-D60901EE6E4E}" name="Tabla30" displayName="Tabla30" ref="A3:D12" totalsRowCount="1">
  <autoFilter ref="A3:D11" xr:uid="{D87C521D-6D6C-4C3C-83DC-D60901EE6E4E}"/>
  <tableColumns count="4">
    <tableColumn id="1" xr3:uid="{7E9F8367-34CD-44BE-B824-3CC89A14FE52}" name="Materia" totalsRowLabel="Total"/>
    <tableColumn id="2" xr3:uid="{7682D175-2F54-497D-9DF0-57E9C7D96CEA}" name="Número de denuncias presentadas" totalsRowFunction="sum"/>
    <tableColumn id="3" xr3:uid="{563BEF0B-80AE-41F1-AB1E-E4E4BA721E38}" name="Número de expedientes incoados (*)" totalsRowFunction="sum"/>
    <tableColumn id="4" xr3:uid="{0315C8E1-C92D-4F51-8417-F96FC5FC35A8}" name="Número de resoluciones dictadas (*)" totalsRowFunction="sum"/>
  </tableColumns>
  <tableStyleInfo name="Estilo de tabla 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A99C85AE-94FE-4744-B348-132B6E45A718}" name="Tabla31" displayName="Tabla31" ref="A3:D12" totalsRowCount="1">
  <autoFilter ref="A3:D11" xr:uid="{A99C85AE-94FE-4744-B348-132B6E45A718}"/>
  <tableColumns count="4">
    <tableColumn id="1" xr3:uid="{E4675333-8F08-4B26-9386-D6E0275C95A9}" name="Materia" totalsRowLabel="Total"/>
    <tableColumn id="2" xr3:uid="{B8FC8FC9-C8EC-412D-A1E2-87DD29A85421}" name="Número de denuncias presentadas" totalsRowFunction="sum"/>
    <tableColumn id="3" xr3:uid="{E3F0EF94-229A-4278-8492-6ADA02843845}" name="Número de expedientes incoados (*)" totalsRowFunction="sum"/>
    <tableColumn id="4" xr3:uid="{538BB259-E122-47A5-8CE9-4F27D3FDB74E}" name="Número de resoluciones dictadas (*)" totalsRowFunction="sum"/>
  </tableColumns>
  <tableStyleInfo name="Estilo de tabla 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5F10837E-B77B-4ED3-9A78-C78BF306674A}" name="Tabla32" displayName="Tabla32" ref="A3:D8" totalsRowCount="1">
  <autoFilter ref="A3:D7" xr:uid="{5F10837E-B77B-4ED3-9A78-C78BF306674A}"/>
  <tableColumns count="4">
    <tableColumn id="1" xr3:uid="{C4EF2143-2301-46B0-9DA0-29DAB4E53CB4}" name="Área" totalsRowLabel="Total"/>
    <tableColumn id="2" xr3:uid="{942F672D-BCC8-452F-BE91-B581667DE937}" name="Tramitados " totalsRowFunction="sum" totalsRowDxfId="3" totalsRowCellStyle="Porcentaje"/>
    <tableColumn id="3" xr3:uid="{08609556-2FAA-467A-9F2D-FB85A13FF284}" name="Resueltos " totalsRowFunction="sum" totalsRowDxfId="2" totalsRowCellStyle="Porcentaje"/>
    <tableColumn id="4" xr3:uid="{B7061F4B-F2AD-41C1-927D-923438573B59}" name="% Expedientes respecto del total " totalsRowFunction="sum" dataDxfId="1" totalsRowDxfId="0" dataCellStyle="Porcentaje"/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D88AEED-6820-43FC-BFD5-5D2D15AF9179}" name="Tabla7" displayName="Tabla7" ref="A3:D20" totalsRowShown="0">
  <autoFilter ref="A3:D20" xr:uid="{BD88AEED-6820-43FC-BFD5-5D2D15AF9179}"/>
  <tableColumns count="4">
    <tableColumn id="1" xr3:uid="{A7454875-FC6C-4F61-B340-364447E1EA3B}" name="Categorías de actividades e instalaciones"/>
    <tableColumn id="3" xr3:uid="{66B0D485-6730-4C2D-83C2-5A886D976A1F}" name="Favorable"/>
    <tableColumn id="4" xr3:uid="{485C936D-4BF3-432A-8A8A-C8B40C065E36}" name="Desfavorable"/>
    <tableColumn id="5" xr3:uid="{1ACD6BE6-8BEC-4EC7-AFB1-8702ECF4D1F3}" name="Archivado"/>
  </tableColumns>
  <tableStyleInfo name="Estilo de tabla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55A391B-6784-44C4-8B24-15CD4FFA1B9C}" name="Tabla9" displayName="Tabla9" ref="A3:N4" totalsRowShown="0">
  <autoFilter ref="A3:N4" xr:uid="{A55A391B-6784-44C4-8B24-15CD4FFA1B9C}"/>
  <tableColumns count="14">
    <tableColumn id="1" xr3:uid="{77304F03-0A82-41DA-B5EE-6D2DE0DC1FD7}" name="Columna1"/>
    <tableColumn id="2" xr3:uid="{1FC32093-620A-4237-BF9C-5110B32C3C67}" name="2010"/>
    <tableColumn id="3" xr3:uid="{C5E309FE-6886-4145-89E3-33AF83BA870A}" name="2011"/>
    <tableColumn id="4" xr3:uid="{53CB99BC-53E0-4863-BBF6-E35894D72137}" name="2012"/>
    <tableColumn id="5" xr3:uid="{BFBB542E-8646-4A08-8CCA-6B13E8DE544E}" name="2013"/>
    <tableColumn id="6" xr3:uid="{EEA3826C-9A33-4725-B358-15AE7A4823B3}" name="2014"/>
    <tableColumn id="7" xr3:uid="{4D1276AE-223B-4CA5-AD8F-13085C6370A6}" name="2015"/>
    <tableColumn id="8" xr3:uid="{77296E09-F764-4F7B-A088-F64A51963370}" name="2016"/>
    <tableColumn id="9" xr3:uid="{E9BA01D5-B431-4C03-BDA4-8AA5D48C2901}" name="2017"/>
    <tableColumn id="10" xr3:uid="{606640F4-5A46-4567-86A0-819BF7F911CF}" name="2018"/>
    <tableColumn id="11" xr3:uid="{DCCA5608-5DC2-4295-93CA-862E1C86FB73}" name="2019"/>
    <tableColumn id="12" xr3:uid="{11DBDE61-9FDF-45B2-8D2E-9AFF35CFB4E8}" name="2020"/>
    <tableColumn id="13" xr3:uid="{48F20598-E20A-42FF-B0A5-EB1DD996C939}" name="2021"/>
    <tableColumn id="14" xr3:uid="{511D38E0-8548-4441-977F-D9C6FC444AE5}" name="2022"/>
  </tableColumns>
  <tableStyleInfo name="Estilo de tabla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EE9726A-6E9E-43D3-9E2B-CE98F3E30CC0}" name="Tabla11" displayName="Tabla11" ref="A3:D15" totalsRowCount="1">
  <autoFilter ref="A3:D14" xr:uid="{7EE9726A-6E9E-43D3-9E2B-CE98F3E30CC0}"/>
  <tableColumns count="4">
    <tableColumn id="1" xr3:uid="{3465C04F-EBB0-4C24-B175-E5EE10FA9C48}" name="Categorías de actividades e instalaciones" totalsRowLabel="Total"/>
    <tableColumn id="2" xr3:uid="{E7F5C399-9FD3-46CC-A748-02817355C7CA}" name="Favorable" totalsRowFunction="sum"/>
    <tableColumn id="3" xr3:uid="{C67D94BB-550E-4859-B5AA-C2AC92F47C34}" name="Desfavorable" totalsRowFunction="sum"/>
    <tableColumn id="4" xr3:uid="{3CE73ABF-D9E0-4FD1-A406-E9F225AA1729}" name="Archivado" totalsRowFunction="sum"/>
  </tableColumns>
  <tableStyleInfo name="Estilo de tabla 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52DF823-4F70-4FB6-B24C-970E79AC02BD}" name="Tabla12" displayName="Tabla12" ref="A3:D15" totalsRowCount="1">
  <autoFilter ref="A3:D14" xr:uid="{F52DF823-4F70-4FB6-B24C-970E79AC02BD}"/>
  <tableColumns count="4">
    <tableColumn id="1" xr3:uid="{82B22248-1E32-4574-B035-6B218DE7E5DD}" name="Categorías de actividades e instalaciones" totalsRowLabel="Total"/>
    <tableColumn id="2" xr3:uid="{90B356C2-3B25-40F7-A1B1-7D44B9C6ABC7}" name="Favorable" totalsRowFunction="sum"/>
    <tableColumn id="3" xr3:uid="{8C5CDDA3-1632-4CE5-A4B9-B56AC689A129}" name="Desfavorable" totalsRowFunction="sum"/>
    <tableColumn id="5" xr3:uid="{632D9FF7-C4A9-41AC-BB65-990E312C5C87}" name="Archivado" totalsRowFunction="sum"/>
  </tableColumns>
  <tableStyleInfo name="Estilo de tabla 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B8BE1AD-6159-49BF-B8EC-27FF98AED21B}" name="Tabla14" displayName="Tabla14" ref="A3:D15" totalsRowCount="1">
  <autoFilter ref="A3:D14" xr:uid="{1B8BE1AD-6159-49BF-B8EC-27FF98AED21B}"/>
  <tableColumns count="4">
    <tableColumn id="1" xr3:uid="{935D141E-6863-4E2B-9EA9-4019FC08B7FB}" name="Categorías de actividades e instalaciones" totalsRowLabel="Total"/>
    <tableColumn id="2" xr3:uid="{E923061F-DAFA-47C6-A1A4-16C743C115A3}" name="Favorable" totalsRowFunction="sum"/>
    <tableColumn id="3" xr3:uid="{CB552A86-604E-4C33-A684-7DE6C3DC4982}" name="Desfavorable" totalsRowFunction="sum"/>
    <tableColumn id="5" xr3:uid="{7484137F-FB53-4551-9DF1-92AB4924AA89}" name="Archivado" totalsRowFunction="sum"/>
  </tableColumns>
  <tableStyleInfo name="Estilo de tabla 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4E351DB-2E81-47BC-B681-2B2F26D95FF1}" name="Tabla15" displayName="Tabla15" ref="A3:E15" totalsRowCount="1">
  <autoFilter ref="A3:E14" xr:uid="{B4E351DB-2E81-47BC-B681-2B2F26D95FF1}"/>
  <tableColumns count="5">
    <tableColumn id="1" xr3:uid="{23952631-4767-400F-84C3-8387CC2430E6}" name="Categorías de actividades e instalaciones" totalsRowLabel="Total"/>
    <tableColumn id="2" xr3:uid="{FF68EEBB-70AB-498D-90A4-4B2774279893}" name="Favorable" totalsRowFunction="sum"/>
    <tableColumn id="3" xr3:uid="{4533C1C4-C931-4D5F-B835-FF70225AAD7C}" name="Desfavorable" totalsRowFunction="sum"/>
    <tableColumn id="4" xr3:uid="{24B525B0-800F-4B0C-BB65-9F0082F18E13}" name="Archivado" totalsRowFunction="sum"/>
    <tableColumn id="5" xr3:uid="{4DDD160D-50B2-44A6-BF0C-39636F0CE647}" name="Total" totalsRowFunction="sum"/>
  </tableColumns>
  <tableStyleInfo name="Estilo de tabla 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BC791190-E1BB-4203-A364-FE987E3CDBB6}" name="Tabla16" displayName="Tabla16" ref="A3:D15" totalsRowCount="1">
  <autoFilter ref="A3:D14" xr:uid="{BC791190-E1BB-4203-A364-FE987E3CDBB6}"/>
  <tableColumns count="4">
    <tableColumn id="1" xr3:uid="{AC42F26E-7728-4505-A772-24D0E09CBFE1}" name="Categorías de actividades e instalaciones" totalsRowLabel="Total"/>
    <tableColumn id="2" xr3:uid="{737555B0-46FF-4D2B-8C23-040A5FC1F404}" name="Favorable" totalsRowFunction="sum"/>
    <tableColumn id="3" xr3:uid="{A7A72D0F-6E5A-4D74-84EE-C6DE1CA734B4}" name="Desfavorable" totalsRowFunction="sum"/>
    <tableColumn id="4" xr3:uid="{61397BA6-F3BA-4E0F-9551-B59357DD4812}" name="Archivado" totalsRowFunction="sum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02D8C-2DBB-4EB3-89E1-C99501362626}">
  <sheetPr>
    <tabColor theme="7" tint="-0.249977111117893"/>
  </sheetPr>
  <dimension ref="A1:B26"/>
  <sheetViews>
    <sheetView tabSelected="1" workbookViewId="0">
      <selection activeCell="A21" sqref="A21"/>
    </sheetView>
  </sheetViews>
  <sheetFormatPr baseColWidth="10" defaultColWidth="11" defaultRowHeight="16.5" x14ac:dyDescent="0.3"/>
  <cols>
    <col min="1" max="1" width="108.875" customWidth="1"/>
    <col min="2" max="2" width="59.875" customWidth="1"/>
  </cols>
  <sheetData>
    <row r="1" spans="1:2" x14ac:dyDescent="0.3">
      <c r="A1" s="3" t="s">
        <v>0</v>
      </c>
      <c r="B1" s="3" t="s">
        <v>1</v>
      </c>
    </row>
    <row r="2" spans="1:2" x14ac:dyDescent="0.3">
      <c r="A2" s="2" t="str">
        <f>'Tabla 2.1-1'!_Toc216182624</f>
        <v>Tabla 2.1‑1: Expedientes resueltos de Autorizaciones Ambientales Integradas (*). Provincia de Huesca. 2022</v>
      </c>
      <c r="B2" t="str">
        <f>'Tabla 2.1-1'!A2</f>
        <v>Fuente: Instituto Aragonés de Gestión Ambiental.</v>
      </c>
    </row>
    <row r="3" spans="1:2" x14ac:dyDescent="0.3">
      <c r="A3" s="2" t="str">
        <f>'Tabla 2.1-2'!_Ref182916053</f>
        <v>Tabla 2.1‑2: Expedientes resueltos de Autorizaciones Ambientales Integradas (*). Provincia de Teruel. 2022</v>
      </c>
      <c r="B3" t="str">
        <f>'Tabla 2.1-2'!A2</f>
        <v>Fuente: Instituto Aragonés de Gestión Ambiental.</v>
      </c>
    </row>
    <row r="4" spans="1:2" x14ac:dyDescent="0.3">
      <c r="A4" s="2" t="str">
        <f>'Tabla 2.1-3'!_Ref182917372</f>
        <v>Tabla 2.1‑3: Expedientes resueltos de Autorizaciones Ambientales Integradas (*). Provincia de Teruel. 2022</v>
      </c>
      <c r="B4" t="str">
        <f>'Tabla 2.1-3'!A2</f>
        <v xml:space="preserve">Fuente: Instituto Aragonés de Gestión Ambiental. </v>
      </c>
    </row>
    <row r="5" spans="1:2" x14ac:dyDescent="0.3">
      <c r="A5" s="2" t="str">
        <f>'Figura 2.2-1'!_Ref182917372</f>
        <v>Figura  2.2‑1: Evolución del número de Declaraciones de Impacto Ambiental en Aragón resueltas por la Comunidad Autónoma. Años 2010 a 2022.</v>
      </c>
      <c r="B5" t="str">
        <f>'Figura 2.2-1'!A2</f>
        <v>Fuente: Instituto Aragonés de Gestión Ambiental</v>
      </c>
    </row>
    <row r="6" spans="1:2" x14ac:dyDescent="0.3">
      <c r="A6" s="2" t="str">
        <f>'Tabla 2.2-1'!_Ref182917372</f>
        <v>Tabla 2.2‑1: Número de Declaraciones de Impacto Ambiental anexo I formuladas en la provincia de Huesca. 2022</v>
      </c>
      <c r="B6" t="str">
        <f>'Tabla 2.2-1'!A2</f>
        <v>Fuente: Instituto Aragonés de Gestión Ambiental</v>
      </c>
    </row>
    <row r="7" spans="1:2" x14ac:dyDescent="0.3">
      <c r="A7" s="2" t="str">
        <f>'Tabla 2.2-2'!_Toc216182692</f>
        <v>Tabla 2.2‑2: Número de Declaraciones de Impacto Ambiental anexo I formuladas en la Provincia de Teruel. 2022</v>
      </c>
      <c r="B7" t="str">
        <f>'Tabla 2.2-2'!A2</f>
        <v>Fuente: Instituto Aragonés de Gestión Ambiental</v>
      </c>
    </row>
    <row r="8" spans="1:2" x14ac:dyDescent="0.3">
      <c r="A8" s="2" t="str">
        <f>'Tabla 2.2-3'!_Toc216182693</f>
        <v>Tabla 2.2‑3: Número de Declaraciones de Impacto ambiental anexo I formuladas en la provincia de Zaragoza. 2022</v>
      </c>
      <c r="B8" t="str">
        <f>'Tabla 2.2-3'!A2</f>
        <v>Fuente: Instituto Aragonés de Gestión Ambiental</v>
      </c>
    </row>
    <row r="9" spans="1:2" x14ac:dyDescent="0.3">
      <c r="A9" s="2" t="str">
        <f>'Tabla 2.2-4'!_Toc216182694</f>
        <v>Tabla 2.2‑4: Número de Declaraciones de Impacto Ambiental anexo I formuladas en Aragón. 2022</v>
      </c>
      <c r="B9" t="str">
        <f>'Tabla 2.2-4'!A2</f>
        <v>Fuente: Instituto Aragonés de Gestión Ambiental</v>
      </c>
    </row>
    <row r="10" spans="1:2" x14ac:dyDescent="0.3">
      <c r="A10" s="2" t="str">
        <f>'Tabla 2.2-5'!_Toc216182695</f>
        <v>Tabla 2.2‑5: Número de evaluaciones de impacto ambiental incorporadas en Autorizaciones Ambientales Integradas. Tipología 02A. Provincia de Huesca. 2022</v>
      </c>
      <c r="B10" t="str">
        <f>'Tabla 2.2-5'!A2</f>
        <v>Fuente: Instituto Aragonés de Gestión Ambiental</v>
      </c>
    </row>
    <row r="11" spans="1:2" x14ac:dyDescent="0.3">
      <c r="A11" s="2" t="str">
        <f>'Tabla 2.2-6'!_Toc216182696</f>
        <v>Tabla 2.2‑6: Número de evaluaciones de impacto ambiental incorporadas en Autorizaciones Ambientales Integradas. Tipología 02A. Provincia de Teruel. 2022</v>
      </c>
      <c r="B11" t="str">
        <f>'Tabla 2.2-6'!A2</f>
        <v>Fuente: Instituto Aragonés de Gestión Ambiental</v>
      </c>
    </row>
    <row r="12" spans="1:2" x14ac:dyDescent="0.3">
      <c r="A12" s="2" t="str">
        <f>'Tabla 2.2-7'!_Toc216182697</f>
        <v>Tabla 2.2‑7: Número de evaluaciones de impacto ambiental incorporadas en Autorizaciones Ambientales Integradas. Tipología 02A. Provincia de Zaragoza. 2022</v>
      </c>
      <c r="B12" t="str">
        <f>'Tabla 2.2-7'!A2</f>
        <v>Fuente: Instituto Aragonés de Gestión Ambiental</v>
      </c>
    </row>
    <row r="13" spans="1:2" x14ac:dyDescent="0.3">
      <c r="A13" s="2" t="str">
        <f>'Tabla 2.2-8'!_Toc216182698</f>
        <v>Tabla 2.2‑8: Número de evaluaciones de impacto ambiental incorporadas en Autorizaciones Ambientales Integradas. Tipología 02A. Aragón. 2022</v>
      </c>
      <c r="B13" t="str">
        <f>'Tabla 2.2-8'!A2</f>
        <v>Fuente: Instituto Aragonés de Gestión Ambiental</v>
      </c>
    </row>
    <row r="14" spans="1:2" x14ac:dyDescent="0.3">
      <c r="A14" s="2" t="str">
        <f>'Tabla 2.2-9'!_Toc216182699</f>
        <v>Tabla 2.2‑9: Evaluaciones de Impacto Ambiental Simplificada resueltas en la provincia de Huesca. Año 2022</v>
      </c>
      <c r="B14" t="str">
        <f>'Tabla 2.2-9'!A2</f>
        <v>Fuente: Instituto Aragonés de Gestión Ambiental</v>
      </c>
    </row>
    <row r="15" spans="1:2" x14ac:dyDescent="0.3">
      <c r="A15" s="2" t="str">
        <f>'Tabla 2.2-10'!_Toc216182700</f>
        <v>Tabla 2.2‑10: Evaluaciones de Impacto Ambiental Simplificada resueltas en la provincia de Teruel. Año 2022</v>
      </c>
      <c r="B15" t="str">
        <f>'Tabla 2.2-10'!A2</f>
        <v>Fuente: Instituto Aragonés de Gestión Ambiental</v>
      </c>
    </row>
    <row r="16" spans="1:2" x14ac:dyDescent="0.3">
      <c r="A16" s="2" t="str">
        <f>'Tabla 2.2-11'!_Toc216182701</f>
        <v>Tabla 2.2‑11: Evaluaciones de Impacto Ambiental Simplificada resueltas en la provincia de Zaragoza. Año 2022</v>
      </c>
      <c r="B16" t="str">
        <f>'Tabla 2.2-11'!A2</f>
        <v>Fuente: Instituto Aragonés de Gestión Ambiental</v>
      </c>
    </row>
    <row r="17" spans="1:2" x14ac:dyDescent="0.3">
      <c r="A17" s="2" t="str">
        <f>'Tabla 2.2-12'!_Toc216182702</f>
        <v>Tabla 2.2‑12: Evaluaciones de Impacto Ambiental Simplificada resueltas en Aragón. Año 2022</v>
      </c>
      <c r="B17" t="str">
        <f>'Tabla 2.2-12'!A2</f>
        <v>Fuente: Instituto Aragonés de Gestión Ambiental</v>
      </c>
    </row>
    <row r="18" spans="1:2" x14ac:dyDescent="0.3">
      <c r="A18" s="2" t="str">
        <f>'Tabla 2.3-1'!_Ref210312437</f>
        <v>Tabla 2.3‑1: Número de expedientes resueltos de Evaluación Ambiental de Planes y Programas. Año 2022</v>
      </c>
      <c r="B18" t="str">
        <f>'Tabla 2.3-1'!A2</f>
        <v>Fuente: Instituto Aragonés de Gestión Ambiental</v>
      </c>
    </row>
    <row r="19" spans="1:2" x14ac:dyDescent="0.3">
      <c r="A19" s="2" t="str">
        <f>'Tabla 2.4-1'!_Toc216182704</f>
        <v>Tabla 2.4‑1: Listado de organizaciones registradas. EMAS. Año 2022</v>
      </c>
      <c r="B19" t="str">
        <f>'Tabla 2.4-1'!A2</f>
        <v>Fuente: Instituto Aragonés de Gestión Ambiental</v>
      </c>
    </row>
    <row r="20" spans="1:2" x14ac:dyDescent="0.3">
      <c r="A20" s="2" t="str">
        <f>'Tabla 2.5-1'!_Toc216182705</f>
        <v>Tabla 2.5‑1: Distribución de número de inspecciones por autoridad inspectora. Año 2022</v>
      </c>
      <c r="B20" t="str">
        <f>'Tabla 2.5-1'!A2</f>
        <v>Fuente: Dirección General de Calidad Ambiental</v>
      </c>
    </row>
    <row r="21" spans="1:2" x14ac:dyDescent="0.3">
      <c r="A21" s="2" t="str">
        <f>'Figura 2.5-1'!_Toc219467320</f>
        <v>Figura  2.5‑1: Distribución de inspecciones por tipología. Año 2022</v>
      </c>
      <c r="B21" t="str">
        <f>'Figura 2.5-1'!A2</f>
        <v>Fuente: Dirección General de Calidad Ambiental</v>
      </c>
    </row>
    <row r="22" spans="1:2" x14ac:dyDescent="0.3">
      <c r="A22" s="2" t="str">
        <f>'Tabla 2.6-1'!_Toc216182706</f>
        <v>Tabla 2.6‑1: Denuncias y expedientes incoados por el Servicio Provincial de Huesca</v>
      </c>
      <c r="B22" t="str">
        <f>'Tabla 2.6-1'!A2</f>
        <v>Fuente: Servicio Provincial de Huesca del Departamento de Agricultura, Ganadería y Medio Ambiente</v>
      </c>
    </row>
    <row r="23" spans="1:2" x14ac:dyDescent="0.3">
      <c r="A23" s="2" t="str">
        <f>'Tabla 2.6-2'!_Toc216182707</f>
        <v>Tabla 2.6‑2: Denuncias y expedientes incoados por el Servicio Provincial de Teruel</v>
      </c>
      <c r="B23" t="str">
        <f>'Tabla 2.6-2'!A2</f>
        <v>Fuente: Servicio Provincial de Teruel del Departamento de Agricultura, Ganadería y Medio Ambiente</v>
      </c>
    </row>
    <row r="24" spans="1:2" x14ac:dyDescent="0.3">
      <c r="A24" s="2" t="str">
        <f>'Tabla 2.6-3'!_Toc216182708</f>
        <v>Tabla 2.6‑3: Denuncias y expedientes incoados por el Servicio Provincial de Zaragoza</v>
      </c>
      <c r="B24" t="str">
        <f>'Tabla 2.6-3'!A2</f>
        <v>Fuente: Servicio Provincial de Zaragoza del Departamento de Agricultura, Ganadería y Medio Ambiente</v>
      </c>
    </row>
    <row r="25" spans="1:2" x14ac:dyDescent="0.3">
      <c r="A25" s="2" t="str">
        <f>'Tabla 2.6-4'!_Toc216182709</f>
        <v>Tabla 2.6‑4: Denuncias y expedientes incoados en Aragón</v>
      </c>
      <c r="B25" t="str">
        <f>'Tabla 2.6-4'!A2</f>
        <v>Fuente: Servicios Provinciales del Departamento de Agricultura, Ganadería y Medio Ambiente</v>
      </c>
    </row>
    <row r="26" spans="1:2" x14ac:dyDescent="0.3">
      <c r="A26" s="2" t="str">
        <f>'Tabla 2.7-1'!_Ref214627527</f>
        <v>Tabla 2.7‑1: Datos de tramitación de expedientes por áreas. Año 2022</v>
      </c>
      <c r="B26" t="str">
        <f>'Tabla 2.7-1'!A2</f>
        <v>Fuente: Instituto Aragonés de Gestión Ambiental</v>
      </c>
    </row>
  </sheetData>
  <phoneticPr fontId="6" type="noConversion"/>
  <hyperlinks>
    <hyperlink ref="A2" location="'Tabla 4.1-1'!A1" display="'Tabla 4.1-1'!A1" xr:uid="{44AAAF55-1079-4B2F-A44C-278542ACC3F0}"/>
    <hyperlink ref="A3" location="'Tabla 4.1-2'!A1" display="'Tabla 4.1-2'!A1" xr:uid="{0AD49A0C-D3F3-407B-9C93-9CF3270D9473}"/>
    <hyperlink ref="A4" location="'Tabla 4.2-1'!A1" display="'Tabla 4.2-1'!A1" xr:uid="{94D667AD-00C2-466C-981C-4FA43C59D5B1}"/>
    <hyperlink ref="A5" location="'Tabla 2.2-1'!_Ref182917372" display="'Tabla 2.2-1'!_Ref182917372" xr:uid="{7FBE0A4A-E162-42E3-A9B3-3B5C8B1F5533}"/>
    <hyperlink ref="A6" location="'Tabla 2.2-1'!_Ref182917372" display="'Tabla 2.2-1'!_Ref182917372" xr:uid="{C0E05200-63C0-4C1A-B31E-52DE685A825C}"/>
    <hyperlink ref="A7" location="'Tabla 2.2-2'!A1" display="'Tabla 2.2-2'!A1" xr:uid="{F6369322-4655-4017-8171-B2E1B42E39B6}"/>
    <hyperlink ref="A8" location="'Tabla 2.2-3'!A1" display="'Tabla 2.2-3'!A1" xr:uid="{680468B6-D2E9-4E4D-92EC-D6EB75BD310A}"/>
    <hyperlink ref="A9" location="'Tabla 2.2-4'!A1" display="'Tabla 2.2-4'!A1" xr:uid="{C0BD28E4-9423-4DCD-8EB2-FAD3AE44E00D}"/>
    <hyperlink ref="A10" location="'Tabla 2.2-5'!A1" display="'Tabla 2.2-5'!A1" xr:uid="{E8B6ED96-D9DF-4EE1-A369-140F4D0FD994}"/>
    <hyperlink ref="A11" location="'Tabla 2.2-6'!A1" display="'Tabla 2.2-6'!A1" xr:uid="{55422840-6104-4652-A912-63B41954036B}"/>
    <hyperlink ref="A12" location="'Tabla 2.2-7'!A1" display="'Tabla 2.2-7'!A1" xr:uid="{88917052-AA4F-4C0C-B199-05BFBF1F2DA0}"/>
    <hyperlink ref="A13" location="'Tabla 2.2-8'!A1" display="'Tabla 2.2-8'!A1" xr:uid="{4F276E08-DDA2-419D-91E4-57C720154446}"/>
    <hyperlink ref="A14" location="'Tabla 2.2-9'!A1" display="'Tabla 2.2-9'!A1" xr:uid="{88E9C83C-3650-4A44-ACE0-E331FF544DD4}"/>
    <hyperlink ref="A15" location="'Tabla 2.2-10'!A1" display="'Tabla 2.2-10'!A1" xr:uid="{2D0D6C19-5302-495E-9C6C-CAF367119AD0}"/>
    <hyperlink ref="A16" location="'Tabla 2.2-11'!A1" display="'Tabla 2.2-11'!A1" xr:uid="{AAA33C3E-B4FA-4475-841A-BB2835895EEF}"/>
    <hyperlink ref="A17" location="'Tabla 2.2-12'!A1" display="'Tabla 2.2-12'!A1" xr:uid="{9AA7E6E5-9A6A-4FC9-84DF-799C86F841D4}"/>
    <hyperlink ref="A18" location="'Tabla 2.3-1'!A1" display="'Tabla 2.3-1'!A1" xr:uid="{6999068F-DF38-4407-807E-51111978DBD5}"/>
    <hyperlink ref="A19" location="'Tabla 2.4-1'!A1" display="'Tabla 2.4-1'!A1" xr:uid="{6C60DE10-3D96-473C-B1DB-412BF4CE0926}"/>
    <hyperlink ref="A20" location="'Tabla 2.5-1'!A1" display="'Tabla 2.5-1'!A1" xr:uid="{C8122F57-A2F8-42D9-965F-BC832B9D67BA}"/>
    <hyperlink ref="A21" location="'Figura 2.5-1'!A1" display="'Figura 2.5-1'!A1" xr:uid="{F2710FEC-836C-424E-99A3-705825F5DD51}"/>
    <hyperlink ref="A22" location="'Tabla 2.6-1'!A1" display="'Tabla 2.6-1'!A1" xr:uid="{4FAD910D-53A9-46A2-B224-ACDFB6BD0149}"/>
    <hyperlink ref="A23" location="'Tabla 2.6-2'!A1" display="'Tabla 2.6-2'!A1" xr:uid="{7FF792BC-7E53-4C80-B4DD-0309A3312511}"/>
    <hyperlink ref="A24" location="'Tabla 2.6-3'!A1" display="'Tabla 2.6-3'!A1" xr:uid="{1E73F29E-ACE0-4659-8381-B86EF11E892A}"/>
    <hyperlink ref="A25" location="'Tabla 2.6-4'!A1" display="'Tabla 2.6-4'!A1" xr:uid="{A2122C63-B56A-4C35-9721-B9A87D43E0B1}"/>
    <hyperlink ref="A26" location="'Tabla 2.7-1'!A1" display="'Tabla 2.7-1'!A1" xr:uid="{D69C5FEC-09A0-4F22-9A75-9AC180B3DE21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41633-855B-421E-856F-C754B2D11931}">
  <sheetPr>
    <tabColor theme="7" tint="-0.249977111117893"/>
  </sheetPr>
  <dimension ref="A1:H15"/>
  <sheetViews>
    <sheetView workbookViewId="0">
      <selection activeCell="H1" sqref="H1"/>
    </sheetView>
  </sheetViews>
  <sheetFormatPr baseColWidth="10" defaultRowHeight="16.5" x14ac:dyDescent="0.3"/>
  <cols>
    <col min="1" max="1" width="36.75" customWidth="1"/>
    <col min="3" max="3" width="13.75" customWidth="1"/>
    <col min="4" max="4" width="11.125" customWidth="1"/>
  </cols>
  <sheetData>
    <row r="1" spans="1:8" x14ac:dyDescent="0.3">
      <c r="A1" s="1" t="s">
        <v>63</v>
      </c>
      <c r="H1" s="4" t="s">
        <v>8</v>
      </c>
    </row>
    <row r="2" spans="1:8" x14ac:dyDescent="0.3">
      <c r="A2" s="1" t="s">
        <v>46</v>
      </c>
    </row>
    <row r="3" spans="1:8" x14ac:dyDescent="0.3">
      <c r="A3" t="s">
        <v>9</v>
      </c>
      <c r="B3" t="s">
        <v>10</v>
      </c>
      <c r="C3" t="s">
        <v>11</v>
      </c>
      <c r="D3" t="s">
        <v>12</v>
      </c>
    </row>
    <row r="4" spans="1:8" x14ac:dyDescent="0.3">
      <c r="A4" t="s">
        <v>58</v>
      </c>
      <c r="B4">
        <v>46</v>
      </c>
      <c r="C4">
        <v>6</v>
      </c>
      <c r="D4">
        <v>7</v>
      </c>
    </row>
    <row r="5" spans="1:8" x14ac:dyDescent="0.3">
      <c r="A5" t="s">
        <v>48</v>
      </c>
      <c r="B5">
        <v>0</v>
      </c>
      <c r="C5">
        <v>0</v>
      </c>
      <c r="D5">
        <v>0</v>
      </c>
    </row>
    <row r="6" spans="1:8" x14ac:dyDescent="0.3">
      <c r="A6" t="s">
        <v>49</v>
      </c>
      <c r="B6">
        <v>0</v>
      </c>
      <c r="C6">
        <v>0</v>
      </c>
      <c r="D6">
        <v>0</v>
      </c>
    </row>
    <row r="7" spans="1:8" x14ac:dyDescent="0.3">
      <c r="A7" t="s">
        <v>50</v>
      </c>
      <c r="B7">
        <v>0</v>
      </c>
      <c r="C7">
        <v>0</v>
      </c>
      <c r="D7">
        <v>0</v>
      </c>
    </row>
    <row r="8" spans="1:8" x14ac:dyDescent="0.3">
      <c r="A8" t="s">
        <v>59</v>
      </c>
      <c r="B8">
        <v>3</v>
      </c>
      <c r="C8">
        <v>0</v>
      </c>
      <c r="D8">
        <v>0</v>
      </c>
    </row>
    <row r="9" spans="1:8" x14ac:dyDescent="0.3">
      <c r="A9" t="s">
        <v>52</v>
      </c>
      <c r="B9">
        <v>0</v>
      </c>
      <c r="C9">
        <v>0</v>
      </c>
      <c r="D9">
        <v>0</v>
      </c>
    </row>
    <row r="10" spans="1:8" x14ac:dyDescent="0.3">
      <c r="A10" t="s">
        <v>53</v>
      </c>
      <c r="B10">
        <v>0</v>
      </c>
      <c r="C10">
        <v>0</v>
      </c>
      <c r="D10">
        <v>0</v>
      </c>
    </row>
    <row r="11" spans="1:8" x14ac:dyDescent="0.3">
      <c r="A11" t="s">
        <v>54</v>
      </c>
      <c r="B11">
        <v>1</v>
      </c>
      <c r="C11">
        <v>0</v>
      </c>
      <c r="D11">
        <v>0</v>
      </c>
    </row>
    <row r="12" spans="1:8" x14ac:dyDescent="0.3">
      <c r="A12" t="s">
        <v>55</v>
      </c>
      <c r="B12">
        <v>3</v>
      </c>
      <c r="C12">
        <v>1</v>
      </c>
      <c r="D12">
        <v>0</v>
      </c>
    </row>
    <row r="13" spans="1:8" x14ac:dyDescent="0.3">
      <c r="A13" t="s">
        <v>56</v>
      </c>
      <c r="B13">
        <v>0</v>
      </c>
      <c r="C13">
        <v>0</v>
      </c>
      <c r="D13">
        <v>0</v>
      </c>
    </row>
    <row r="14" spans="1:8" x14ac:dyDescent="0.3">
      <c r="A14" t="s">
        <v>27</v>
      </c>
      <c r="B14">
        <v>0</v>
      </c>
      <c r="C14">
        <v>0</v>
      </c>
      <c r="D14">
        <v>0</v>
      </c>
    </row>
    <row r="15" spans="1:8" x14ac:dyDescent="0.3">
      <c r="A15" t="s">
        <v>2</v>
      </c>
      <c r="B15">
        <f>SUBTOTAL(109,Tabla16[Favorable])</f>
        <v>53</v>
      </c>
      <c r="C15">
        <f>SUBTOTAL(109,Tabla16[Desfavorable])</f>
        <v>7</v>
      </c>
      <c r="D15">
        <f>SUBTOTAL(109,Tabla16[Archivado])</f>
        <v>7</v>
      </c>
    </row>
  </sheetData>
  <hyperlinks>
    <hyperlink ref="H1" location="ÍNDICE!A1" display="ir a índice" xr:uid="{6E901727-4484-4A5D-9D21-C706194FDC04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4CE91-F2CC-4193-BFFD-40EF844DF98A}">
  <sheetPr>
    <tabColor theme="7" tint="-0.249977111117893"/>
  </sheetPr>
  <dimension ref="A1:H15"/>
  <sheetViews>
    <sheetView workbookViewId="0">
      <selection activeCell="H1" sqref="H1"/>
    </sheetView>
  </sheetViews>
  <sheetFormatPr baseColWidth="10" defaultRowHeight="16.5" x14ac:dyDescent="0.3"/>
  <cols>
    <col min="1" max="1" width="36.75" customWidth="1"/>
    <col min="3" max="3" width="13.75" customWidth="1"/>
    <col min="4" max="4" width="11.125" customWidth="1"/>
  </cols>
  <sheetData>
    <row r="1" spans="1:8" x14ac:dyDescent="0.3">
      <c r="A1" s="1" t="s">
        <v>64</v>
      </c>
      <c r="H1" s="4" t="s">
        <v>8</v>
      </c>
    </row>
    <row r="2" spans="1:8" x14ac:dyDescent="0.3">
      <c r="A2" s="1" t="s">
        <v>46</v>
      </c>
    </row>
    <row r="3" spans="1:8" x14ac:dyDescent="0.3">
      <c r="A3" t="s">
        <v>9</v>
      </c>
      <c r="B3" t="s">
        <v>10</v>
      </c>
      <c r="C3" t="s">
        <v>11</v>
      </c>
      <c r="D3" t="s">
        <v>12</v>
      </c>
    </row>
    <row r="4" spans="1:8" x14ac:dyDescent="0.3">
      <c r="A4" t="s">
        <v>58</v>
      </c>
      <c r="B4">
        <v>10</v>
      </c>
      <c r="C4">
        <v>1</v>
      </c>
      <c r="D4">
        <v>0</v>
      </c>
    </row>
    <row r="5" spans="1:8" x14ac:dyDescent="0.3">
      <c r="A5" t="s">
        <v>48</v>
      </c>
      <c r="B5">
        <v>0</v>
      </c>
      <c r="C5">
        <v>0</v>
      </c>
      <c r="D5">
        <v>0</v>
      </c>
    </row>
    <row r="6" spans="1:8" x14ac:dyDescent="0.3">
      <c r="A6" t="s">
        <v>49</v>
      </c>
      <c r="B6">
        <v>0</v>
      </c>
      <c r="C6">
        <v>0</v>
      </c>
      <c r="D6">
        <v>0</v>
      </c>
    </row>
    <row r="7" spans="1:8" x14ac:dyDescent="0.3">
      <c r="A7" t="s">
        <v>50</v>
      </c>
      <c r="B7">
        <v>0</v>
      </c>
      <c r="C7">
        <v>0</v>
      </c>
      <c r="D7">
        <v>0</v>
      </c>
    </row>
    <row r="8" spans="1:8" x14ac:dyDescent="0.3">
      <c r="A8" t="s">
        <v>59</v>
      </c>
      <c r="B8">
        <v>1</v>
      </c>
      <c r="C8">
        <v>0</v>
      </c>
      <c r="D8">
        <v>0</v>
      </c>
    </row>
    <row r="9" spans="1:8" x14ac:dyDescent="0.3">
      <c r="A9" t="s">
        <v>52</v>
      </c>
      <c r="B9">
        <v>0</v>
      </c>
      <c r="C9">
        <v>0</v>
      </c>
      <c r="D9">
        <v>0</v>
      </c>
    </row>
    <row r="10" spans="1:8" x14ac:dyDescent="0.3">
      <c r="A10" t="s">
        <v>53</v>
      </c>
      <c r="B10">
        <v>0</v>
      </c>
      <c r="C10">
        <v>0</v>
      </c>
      <c r="D10">
        <v>0</v>
      </c>
    </row>
    <row r="11" spans="1:8" x14ac:dyDescent="0.3">
      <c r="A11" t="s">
        <v>54</v>
      </c>
      <c r="B11">
        <v>0</v>
      </c>
      <c r="C11">
        <v>0</v>
      </c>
      <c r="D11">
        <v>0</v>
      </c>
    </row>
    <row r="12" spans="1:8" x14ac:dyDescent="0.3">
      <c r="A12" t="s">
        <v>55</v>
      </c>
      <c r="B12">
        <v>1</v>
      </c>
      <c r="C12">
        <v>0</v>
      </c>
      <c r="D12">
        <v>0</v>
      </c>
    </row>
    <row r="13" spans="1:8" x14ac:dyDescent="0.3">
      <c r="A13" t="s">
        <v>56</v>
      </c>
      <c r="B13">
        <v>0</v>
      </c>
      <c r="C13">
        <v>0</v>
      </c>
      <c r="D13">
        <v>0</v>
      </c>
    </row>
    <row r="14" spans="1:8" x14ac:dyDescent="0.3">
      <c r="A14" t="s">
        <v>27</v>
      </c>
      <c r="B14">
        <v>0</v>
      </c>
      <c r="C14">
        <v>0</v>
      </c>
      <c r="D14">
        <v>0</v>
      </c>
    </row>
    <row r="15" spans="1:8" x14ac:dyDescent="0.3">
      <c r="A15" t="s">
        <v>2</v>
      </c>
      <c r="B15">
        <f>SUBTOTAL(109,Tabla17[Favorable])</f>
        <v>12</v>
      </c>
      <c r="C15">
        <f>SUBTOTAL(109,Tabla17[Desfavorable])</f>
        <v>1</v>
      </c>
      <c r="D15">
        <f>SUBTOTAL(109,Tabla17[Archivado])</f>
        <v>0</v>
      </c>
    </row>
  </sheetData>
  <hyperlinks>
    <hyperlink ref="H1" location="ÍNDICE!A1" display="ir a índice" xr:uid="{47682AFD-A0CB-4A31-93C2-31335D7BBD09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E6E80-FAB0-40A5-9A04-E39EA577D377}">
  <sheetPr>
    <tabColor theme="7" tint="-0.249977111117893"/>
  </sheetPr>
  <dimension ref="A1:H15"/>
  <sheetViews>
    <sheetView workbookViewId="0">
      <selection activeCell="H1" sqref="H1"/>
    </sheetView>
  </sheetViews>
  <sheetFormatPr baseColWidth="10" defaultRowHeight="16.5" x14ac:dyDescent="0.3"/>
  <cols>
    <col min="1" max="1" width="36.75" customWidth="1"/>
    <col min="3" max="3" width="13.75" customWidth="1"/>
    <col min="4" max="4" width="11.125" customWidth="1"/>
  </cols>
  <sheetData>
    <row r="1" spans="1:8" x14ac:dyDescent="0.3">
      <c r="A1" s="1" t="s">
        <v>66</v>
      </c>
      <c r="H1" s="4" t="s">
        <v>8</v>
      </c>
    </row>
    <row r="2" spans="1:8" x14ac:dyDescent="0.3">
      <c r="A2" s="1" t="s">
        <v>46</v>
      </c>
    </row>
    <row r="3" spans="1:8" x14ac:dyDescent="0.3">
      <c r="A3" t="s">
        <v>9</v>
      </c>
      <c r="B3" t="s">
        <v>10</v>
      </c>
      <c r="C3" t="s">
        <v>11</v>
      </c>
      <c r="D3" t="s">
        <v>12</v>
      </c>
    </row>
    <row r="4" spans="1:8" x14ac:dyDescent="0.3">
      <c r="A4" t="s">
        <v>58</v>
      </c>
      <c r="B4">
        <v>16</v>
      </c>
      <c r="C4">
        <v>4</v>
      </c>
      <c r="D4">
        <v>6</v>
      </c>
    </row>
    <row r="5" spans="1:8" x14ac:dyDescent="0.3">
      <c r="A5" t="s">
        <v>48</v>
      </c>
      <c r="B5">
        <v>0</v>
      </c>
      <c r="C5">
        <v>0</v>
      </c>
      <c r="D5">
        <v>0</v>
      </c>
    </row>
    <row r="6" spans="1:8" x14ac:dyDescent="0.3">
      <c r="A6" t="s">
        <v>49</v>
      </c>
      <c r="B6">
        <v>0</v>
      </c>
      <c r="C6">
        <v>0</v>
      </c>
      <c r="D6">
        <v>0</v>
      </c>
    </row>
    <row r="7" spans="1:8" x14ac:dyDescent="0.3">
      <c r="A7" t="s">
        <v>50</v>
      </c>
      <c r="B7">
        <v>0</v>
      </c>
      <c r="C7">
        <v>0</v>
      </c>
      <c r="D7">
        <v>0</v>
      </c>
    </row>
    <row r="8" spans="1:8" x14ac:dyDescent="0.3">
      <c r="A8" t="s">
        <v>59</v>
      </c>
      <c r="B8">
        <v>2</v>
      </c>
      <c r="C8">
        <v>0</v>
      </c>
      <c r="D8">
        <v>0</v>
      </c>
    </row>
    <row r="9" spans="1:8" x14ac:dyDescent="0.3">
      <c r="A9" t="s">
        <v>52</v>
      </c>
      <c r="B9">
        <v>0</v>
      </c>
      <c r="C9">
        <v>0</v>
      </c>
      <c r="D9">
        <v>0</v>
      </c>
    </row>
    <row r="10" spans="1:8" x14ac:dyDescent="0.3">
      <c r="A10" t="s">
        <v>53</v>
      </c>
      <c r="B10">
        <v>0</v>
      </c>
      <c r="C10">
        <v>0</v>
      </c>
      <c r="D10">
        <v>0</v>
      </c>
    </row>
    <row r="11" spans="1:8" x14ac:dyDescent="0.3">
      <c r="A11" t="s">
        <v>54</v>
      </c>
      <c r="B11">
        <v>0</v>
      </c>
      <c r="C11">
        <v>0</v>
      </c>
      <c r="D11">
        <v>0</v>
      </c>
    </row>
    <row r="12" spans="1:8" x14ac:dyDescent="0.3">
      <c r="A12" t="s">
        <v>55</v>
      </c>
      <c r="B12">
        <v>3</v>
      </c>
      <c r="C12">
        <v>0</v>
      </c>
      <c r="D12">
        <v>1</v>
      </c>
    </row>
    <row r="13" spans="1:8" x14ac:dyDescent="0.3">
      <c r="A13" t="s">
        <v>56</v>
      </c>
      <c r="B13">
        <v>0</v>
      </c>
      <c r="C13">
        <v>0</v>
      </c>
      <c r="D13">
        <v>0</v>
      </c>
    </row>
    <row r="14" spans="1:8" x14ac:dyDescent="0.3">
      <c r="A14" t="s">
        <v>27</v>
      </c>
      <c r="B14">
        <v>0</v>
      </c>
      <c r="C14">
        <v>0</v>
      </c>
      <c r="D14">
        <v>0</v>
      </c>
    </row>
    <row r="15" spans="1:8" x14ac:dyDescent="0.3">
      <c r="A15" t="s">
        <v>2</v>
      </c>
      <c r="B15">
        <f>SUBTOTAL(109,Tabla19[Favorable])</f>
        <v>21</v>
      </c>
      <c r="C15">
        <f>SUBTOTAL(109,Tabla19[Desfavorable])</f>
        <v>4</v>
      </c>
      <c r="D15">
        <f>SUBTOTAL(109,Tabla19[Archivado])</f>
        <v>7</v>
      </c>
    </row>
  </sheetData>
  <hyperlinks>
    <hyperlink ref="H1" location="ÍNDICE!A1" display="ir a índice" xr:uid="{8AC64075-72E8-4FF6-B50F-BBB5EAAB2DC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C5604-73BB-47DF-84E8-EED5034B496D}">
  <sheetPr>
    <tabColor theme="7" tint="-0.249977111117893"/>
  </sheetPr>
  <dimension ref="A1:G15"/>
  <sheetViews>
    <sheetView workbookViewId="0">
      <selection activeCell="G1" sqref="G1"/>
    </sheetView>
  </sheetViews>
  <sheetFormatPr baseColWidth="10" defaultRowHeight="16.5" x14ac:dyDescent="0.3"/>
  <cols>
    <col min="1" max="1" width="47.625" customWidth="1"/>
    <col min="3" max="3" width="13.75" customWidth="1"/>
    <col min="4" max="4" width="11.125" customWidth="1"/>
  </cols>
  <sheetData>
    <row r="1" spans="1:7" x14ac:dyDescent="0.3">
      <c r="A1" s="1" t="s">
        <v>65</v>
      </c>
      <c r="G1" s="4" t="s">
        <v>8</v>
      </c>
    </row>
    <row r="2" spans="1:7" x14ac:dyDescent="0.3">
      <c r="A2" s="1" t="s">
        <v>46</v>
      </c>
    </row>
    <row r="3" spans="1:7" x14ac:dyDescent="0.3">
      <c r="A3" t="s">
        <v>9</v>
      </c>
      <c r="B3" t="s">
        <v>10</v>
      </c>
      <c r="C3" t="s">
        <v>11</v>
      </c>
      <c r="D3" t="s">
        <v>12</v>
      </c>
      <c r="E3" t="s">
        <v>2</v>
      </c>
    </row>
    <row r="4" spans="1:7" x14ac:dyDescent="0.3">
      <c r="A4" t="s">
        <v>58</v>
      </c>
      <c r="B4">
        <v>72</v>
      </c>
      <c r="C4">
        <v>11</v>
      </c>
      <c r="D4">
        <v>13</v>
      </c>
      <c r="E4">
        <v>96</v>
      </c>
    </row>
    <row r="5" spans="1:7" x14ac:dyDescent="0.3">
      <c r="A5" t="s">
        <v>48</v>
      </c>
      <c r="B5">
        <v>0</v>
      </c>
      <c r="C5">
        <v>0</v>
      </c>
      <c r="D5">
        <v>0</v>
      </c>
      <c r="E5">
        <v>0</v>
      </c>
    </row>
    <row r="6" spans="1:7" x14ac:dyDescent="0.3">
      <c r="A6" t="s">
        <v>49</v>
      </c>
      <c r="B6">
        <v>0</v>
      </c>
      <c r="C6">
        <v>0</v>
      </c>
      <c r="D6">
        <v>0</v>
      </c>
      <c r="E6">
        <v>0</v>
      </c>
    </row>
    <row r="7" spans="1:7" x14ac:dyDescent="0.3">
      <c r="A7" t="s">
        <v>50</v>
      </c>
      <c r="B7">
        <v>0</v>
      </c>
      <c r="C7">
        <v>0</v>
      </c>
      <c r="D7">
        <v>0</v>
      </c>
      <c r="E7">
        <v>0</v>
      </c>
    </row>
    <row r="8" spans="1:7" x14ac:dyDescent="0.3">
      <c r="A8" t="s">
        <v>59</v>
      </c>
      <c r="B8">
        <v>6</v>
      </c>
      <c r="C8">
        <v>0</v>
      </c>
      <c r="D8">
        <v>0</v>
      </c>
      <c r="E8">
        <v>6</v>
      </c>
    </row>
    <row r="9" spans="1:7" x14ac:dyDescent="0.3">
      <c r="A9" t="s">
        <v>52</v>
      </c>
      <c r="B9">
        <v>0</v>
      </c>
      <c r="C9">
        <v>0</v>
      </c>
      <c r="D9">
        <v>0</v>
      </c>
      <c r="E9">
        <v>0</v>
      </c>
    </row>
    <row r="10" spans="1:7" x14ac:dyDescent="0.3">
      <c r="A10" t="s">
        <v>53</v>
      </c>
      <c r="B10">
        <v>0</v>
      </c>
      <c r="C10">
        <v>0</v>
      </c>
      <c r="D10">
        <v>0</v>
      </c>
      <c r="E10">
        <v>0</v>
      </c>
    </row>
    <row r="11" spans="1:7" x14ac:dyDescent="0.3">
      <c r="A11" t="s">
        <v>54</v>
      </c>
      <c r="B11">
        <v>1</v>
      </c>
      <c r="C11">
        <v>0</v>
      </c>
      <c r="D11">
        <v>0</v>
      </c>
      <c r="E11">
        <v>1</v>
      </c>
    </row>
    <row r="12" spans="1:7" x14ac:dyDescent="0.3">
      <c r="A12" t="s">
        <v>55</v>
      </c>
      <c r="B12">
        <v>7</v>
      </c>
      <c r="C12">
        <v>1</v>
      </c>
      <c r="D12">
        <v>1</v>
      </c>
      <c r="E12">
        <v>9</v>
      </c>
    </row>
    <row r="13" spans="1:7" x14ac:dyDescent="0.3">
      <c r="A13" t="s">
        <v>56</v>
      </c>
      <c r="B13">
        <v>0</v>
      </c>
      <c r="C13">
        <v>0</v>
      </c>
      <c r="D13">
        <v>0</v>
      </c>
      <c r="E13">
        <v>0</v>
      </c>
    </row>
    <row r="14" spans="1:7" x14ac:dyDescent="0.3">
      <c r="A14" t="s">
        <v>27</v>
      </c>
      <c r="B14">
        <v>0</v>
      </c>
      <c r="C14">
        <v>0</v>
      </c>
      <c r="D14">
        <v>0</v>
      </c>
      <c r="E14">
        <v>0</v>
      </c>
    </row>
    <row r="15" spans="1:7" x14ac:dyDescent="0.3">
      <c r="A15" t="s">
        <v>2</v>
      </c>
      <c r="B15">
        <f>SUBTOTAL(109,Tabla18[Favorable])</f>
        <v>86</v>
      </c>
      <c r="C15">
        <f>SUBTOTAL(109,Tabla18[Desfavorable])</f>
        <v>12</v>
      </c>
      <c r="D15">
        <f>SUBTOTAL(109,Tabla18[Archivado])</f>
        <v>14</v>
      </c>
      <c r="E15">
        <f>SUBTOTAL(109,Tabla18[Total])</f>
        <v>112</v>
      </c>
    </row>
  </sheetData>
  <hyperlinks>
    <hyperlink ref="G1" location="ÍNDICE!A1" display="ir a índice" xr:uid="{24F9C6F8-6019-47C1-B0E7-7681506727FE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10623-9AD5-4B0B-ACCB-67916D0A8E4E}">
  <sheetPr>
    <tabColor theme="7" tint="-0.249977111117893"/>
  </sheetPr>
  <dimension ref="A1:F14"/>
  <sheetViews>
    <sheetView workbookViewId="0">
      <selection activeCell="F1" sqref="F1"/>
    </sheetView>
  </sheetViews>
  <sheetFormatPr baseColWidth="10" defaultRowHeight="16.5" x14ac:dyDescent="0.3"/>
  <cols>
    <col min="1" max="1" width="47.375" customWidth="1"/>
    <col min="2" max="2" width="11.375" customWidth="1"/>
    <col min="3" max="3" width="13.75" customWidth="1"/>
  </cols>
  <sheetData>
    <row r="1" spans="1:6" x14ac:dyDescent="0.3">
      <c r="A1" s="1" t="s">
        <v>69</v>
      </c>
      <c r="F1" s="4" t="s">
        <v>8</v>
      </c>
    </row>
    <row r="2" spans="1:6" x14ac:dyDescent="0.3">
      <c r="A2" s="1" t="s">
        <v>46</v>
      </c>
    </row>
    <row r="3" spans="1:6" x14ac:dyDescent="0.3">
      <c r="A3" t="s">
        <v>9</v>
      </c>
      <c r="B3" t="s">
        <v>67</v>
      </c>
      <c r="C3" t="s">
        <v>11</v>
      </c>
      <c r="D3" t="s">
        <v>68</v>
      </c>
    </row>
    <row r="4" spans="1:6" x14ac:dyDescent="0.3">
      <c r="A4" t="s">
        <v>58</v>
      </c>
      <c r="B4">
        <v>5</v>
      </c>
      <c r="C4">
        <v>2</v>
      </c>
      <c r="D4">
        <v>2</v>
      </c>
    </row>
    <row r="5" spans="1:6" x14ac:dyDescent="0.3">
      <c r="A5" t="s">
        <v>48</v>
      </c>
      <c r="B5">
        <v>0</v>
      </c>
      <c r="C5">
        <v>0</v>
      </c>
      <c r="D5">
        <v>0</v>
      </c>
    </row>
    <row r="6" spans="1:6" x14ac:dyDescent="0.3">
      <c r="A6" t="s">
        <v>49</v>
      </c>
      <c r="B6">
        <v>3</v>
      </c>
      <c r="C6">
        <v>0</v>
      </c>
      <c r="D6">
        <v>0</v>
      </c>
    </row>
    <row r="7" spans="1:6" x14ac:dyDescent="0.3">
      <c r="A7" t="s">
        <v>50</v>
      </c>
      <c r="B7">
        <v>0</v>
      </c>
      <c r="C7">
        <v>0</v>
      </c>
      <c r="D7">
        <v>0</v>
      </c>
    </row>
    <row r="8" spans="1:6" x14ac:dyDescent="0.3">
      <c r="A8" t="s">
        <v>59</v>
      </c>
      <c r="B8">
        <v>0</v>
      </c>
      <c r="C8">
        <v>0</v>
      </c>
      <c r="D8">
        <v>0</v>
      </c>
    </row>
    <row r="9" spans="1:6" x14ac:dyDescent="0.3">
      <c r="A9" t="s">
        <v>52</v>
      </c>
      <c r="B9">
        <v>1</v>
      </c>
      <c r="C9">
        <v>0</v>
      </c>
      <c r="D9">
        <v>1</v>
      </c>
    </row>
    <row r="10" spans="1:6" x14ac:dyDescent="0.3">
      <c r="A10" t="s">
        <v>53</v>
      </c>
      <c r="B10">
        <v>0</v>
      </c>
      <c r="C10">
        <v>0</v>
      </c>
      <c r="D10">
        <v>0</v>
      </c>
    </row>
    <row r="11" spans="1:6" x14ac:dyDescent="0.3">
      <c r="A11" t="s">
        <v>54</v>
      </c>
      <c r="B11">
        <v>2</v>
      </c>
      <c r="C11">
        <v>1</v>
      </c>
      <c r="D11">
        <v>3</v>
      </c>
    </row>
    <row r="12" spans="1:6" x14ac:dyDescent="0.3">
      <c r="A12" t="s">
        <v>55</v>
      </c>
      <c r="B12">
        <v>10</v>
      </c>
      <c r="C12">
        <v>3</v>
      </c>
      <c r="D12">
        <v>7</v>
      </c>
    </row>
    <row r="13" spans="1:6" x14ac:dyDescent="0.3">
      <c r="A13" t="s">
        <v>56</v>
      </c>
      <c r="B13">
        <v>0</v>
      </c>
      <c r="C13">
        <v>0</v>
      </c>
      <c r="D13">
        <v>0</v>
      </c>
    </row>
    <row r="14" spans="1:6" x14ac:dyDescent="0.3">
      <c r="A14" t="s">
        <v>2</v>
      </c>
      <c r="B14">
        <v>21</v>
      </c>
      <c r="C14">
        <v>6</v>
      </c>
      <c r="D14">
        <v>13</v>
      </c>
    </row>
  </sheetData>
  <hyperlinks>
    <hyperlink ref="F1" location="ÍNDICE!A1" display="ir a índice" xr:uid="{182A4D23-2961-48D3-9FB4-0ED30C26C05D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DB6AA-57D2-44C5-BBC7-649236DC197E}">
  <sheetPr>
    <tabColor theme="7" tint="-0.249977111117893"/>
  </sheetPr>
  <dimension ref="A1:F14"/>
  <sheetViews>
    <sheetView workbookViewId="0">
      <selection activeCell="F1" sqref="F1"/>
    </sheetView>
  </sheetViews>
  <sheetFormatPr baseColWidth="10" defaultRowHeight="16.5" x14ac:dyDescent="0.3"/>
  <cols>
    <col min="1" max="1" width="36.75" customWidth="1"/>
    <col min="2" max="2" width="11.375" customWidth="1"/>
    <col min="3" max="3" width="13.75" customWidth="1"/>
  </cols>
  <sheetData>
    <row r="1" spans="1:6" x14ac:dyDescent="0.3">
      <c r="A1" s="1" t="s">
        <v>70</v>
      </c>
      <c r="F1" s="4" t="s">
        <v>8</v>
      </c>
    </row>
    <row r="2" spans="1:6" x14ac:dyDescent="0.3">
      <c r="A2" s="1" t="s">
        <v>46</v>
      </c>
    </row>
    <row r="3" spans="1:6" x14ac:dyDescent="0.3">
      <c r="A3" t="s">
        <v>9</v>
      </c>
      <c r="B3" t="s">
        <v>67</v>
      </c>
      <c r="C3" t="s">
        <v>11</v>
      </c>
      <c r="D3" t="s">
        <v>68</v>
      </c>
    </row>
    <row r="4" spans="1:6" x14ac:dyDescent="0.3">
      <c r="A4" t="s">
        <v>58</v>
      </c>
      <c r="B4">
        <v>5</v>
      </c>
      <c r="C4">
        <v>0</v>
      </c>
      <c r="D4">
        <v>0</v>
      </c>
    </row>
    <row r="5" spans="1:6" x14ac:dyDescent="0.3">
      <c r="A5" t="s">
        <v>48</v>
      </c>
      <c r="B5">
        <v>0</v>
      </c>
      <c r="C5">
        <v>0</v>
      </c>
      <c r="D5">
        <v>0</v>
      </c>
    </row>
    <row r="6" spans="1:6" x14ac:dyDescent="0.3">
      <c r="A6" t="s">
        <v>49</v>
      </c>
      <c r="B6">
        <v>3</v>
      </c>
      <c r="C6">
        <v>1</v>
      </c>
      <c r="D6">
        <v>0</v>
      </c>
    </row>
    <row r="7" spans="1:6" x14ac:dyDescent="0.3">
      <c r="A7" t="s">
        <v>50</v>
      </c>
      <c r="B7">
        <v>0</v>
      </c>
      <c r="C7">
        <v>0</v>
      </c>
      <c r="D7">
        <v>0</v>
      </c>
    </row>
    <row r="8" spans="1:6" x14ac:dyDescent="0.3">
      <c r="A8" t="s">
        <v>59</v>
      </c>
      <c r="B8">
        <v>1</v>
      </c>
      <c r="C8">
        <v>0</v>
      </c>
      <c r="D8">
        <v>0</v>
      </c>
    </row>
    <row r="9" spans="1:6" x14ac:dyDescent="0.3">
      <c r="A9" t="s">
        <v>52</v>
      </c>
      <c r="B9">
        <v>1</v>
      </c>
      <c r="C9">
        <v>0</v>
      </c>
      <c r="D9">
        <v>0</v>
      </c>
    </row>
    <row r="10" spans="1:6" x14ac:dyDescent="0.3">
      <c r="A10" t="s">
        <v>53</v>
      </c>
      <c r="B10">
        <v>1</v>
      </c>
      <c r="C10">
        <v>0</v>
      </c>
      <c r="D10">
        <v>0</v>
      </c>
    </row>
    <row r="11" spans="1:6" x14ac:dyDescent="0.3">
      <c r="A11" t="s">
        <v>54</v>
      </c>
      <c r="B11">
        <v>1</v>
      </c>
      <c r="C11">
        <v>1</v>
      </c>
      <c r="D11">
        <v>1</v>
      </c>
    </row>
    <row r="12" spans="1:6" x14ac:dyDescent="0.3">
      <c r="A12" t="s">
        <v>55</v>
      </c>
      <c r="B12">
        <v>11</v>
      </c>
      <c r="C12">
        <v>7</v>
      </c>
      <c r="D12">
        <v>3</v>
      </c>
    </row>
    <row r="13" spans="1:6" x14ac:dyDescent="0.3">
      <c r="A13" t="s">
        <v>56</v>
      </c>
      <c r="B13">
        <v>0</v>
      </c>
      <c r="C13">
        <v>0</v>
      </c>
      <c r="D13">
        <v>0</v>
      </c>
    </row>
    <row r="14" spans="1:6" x14ac:dyDescent="0.3">
      <c r="A14" t="s">
        <v>2</v>
      </c>
      <c r="B14">
        <f>SUBTOTAL(109,Tabla21[[Favorable ]])</f>
        <v>23</v>
      </c>
      <c r="C14">
        <f>SUBTOTAL(109,Tabla21[Desfavorable])</f>
        <v>9</v>
      </c>
      <c r="D14">
        <f>SUBTOTAL(109,Tabla21[Archivo])</f>
        <v>4</v>
      </c>
    </row>
  </sheetData>
  <hyperlinks>
    <hyperlink ref="F1" location="ÍNDICE!A1" display="ir a índice" xr:uid="{35D2AA05-5A39-411F-8271-EE3C9A953E5D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C7A30-238F-405B-A71C-C9EBEFACE1E7}">
  <sheetPr>
    <tabColor theme="7" tint="-0.249977111117893"/>
  </sheetPr>
  <dimension ref="A1:F14"/>
  <sheetViews>
    <sheetView workbookViewId="0">
      <selection activeCell="F1" sqref="F1"/>
    </sheetView>
  </sheetViews>
  <sheetFormatPr baseColWidth="10" defaultRowHeight="16.5" x14ac:dyDescent="0.3"/>
  <cols>
    <col min="1" max="1" width="36.75" customWidth="1"/>
    <col min="2" max="2" width="11.375" customWidth="1"/>
    <col min="3" max="3" width="13.75" customWidth="1"/>
  </cols>
  <sheetData>
    <row r="1" spans="1:6" x14ac:dyDescent="0.3">
      <c r="A1" s="1" t="s">
        <v>71</v>
      </c>
      <c r="F1" s="4" t="s">
        <v>8</v>
      </c>
    </row>
    <row r="2" spans="1:6" x14ac:dyDescent="0.3">
      <c r="A2" s="1" t="s">
        <v>46</v>
      </c>
    </row>
    <row r="3" spans="1:6" x14ac:dyDescent="0.3">
      <c r="A3" t="s">
        <v>9</v>
      </c>
      <c r="B3" t="s">
        <v>67</v>
      </c>
      <c r="C3" t="s">
        <v>11</v>
      </c>
      <c r="D3" t="s">
        <v>68</v>
      </c>
    </row>
    <row r="4" spans="1:6" x14ac:dyDescent="0.3">
      <c r="A4" t="s">
        <v>58</v>
      </c>
      <c r="B4">
        <v>7</v>
      </c>
      <c r="C4">
        <v>0</v>
      </c>
      <c r="D4">
        <v>3</v>
      </c>
    </row>
    <row r="5" spans="1:6" x14ac:dyDescent="0.3">
      <c r="A5" t="s">
        <v>48</v>
      </c>
      <c r="B5">
        <v>1</v>
      </c>
      <c r="C5">
        <v>0</v>
      </c>
      <c r="D5">
        <v>2</v>
      </c>
    </row>
    <row r="6" spans="1:6" x14ac:dyDescent="0.3">
      <c r="A6" t="s">
        <v>49</v>
      </c>
      <c r="B6">
        <v>7</v>
      </c>
      <c r="C6">
        <v>2</v>
      </c>
      <c r="D6">
        <v>12</v>
      </c>
    </row>
    <row r="7" spans="1:6" x14ac:dyDescent="0.3">
      <c r="A7" t="s">
        <v>50</v>
      </c>
      <c r="B7">
        <v>0</v>
      </c>
      <c r="C7">
        <v>0</v>
      </c>
      <c r="D7">
        <v>0</v>
      </c>
    </row>
    <row r="8" spans="1:6" x14ac:dyDescent="0.3">
      <c r="A8" t="s">
        <v>59</v>
      </c>
      <c r="B8">
        <v>0</v>
      </c>
      <c r="C8">
        <v>1</v>
      </c>
      <c r="D8">
        <v>0</v>
      </c>
    </row>
    <row r="9" spans="1:6" x14ac:dyDescent="0.3">
      <c r="A9" t="s">
        <v>52</v>
      </c>
      <c r="B9">
        <v>0</v>
      </c>
      <c r="C9">
        <v>0</v>
      </c>
      <c r="D9">
        <v>0</v>
      </c>
    </row>
    <row r="10" spans="1:6" x14ac:dyDescent="0.3">
      <c r="A10" t="s">
        <v>53</v>
      </c>
      <c r="B10">
        <v>2</v>
      </c>
      <c r="C10">
        <v>0</v>
      </c>
      <c r="D10">
        <v>1</v>
      </c>
    </row>
    <row r="11" spans="1:6" x14ac:dyDescent="0.3">
      <c r="A11" t="s">
        <v>54</v>
      </c>
      <c r="B11">
        <v>4</v>
      </c>
      <c r="C11">
        <v>3</v>
      </c>
      <c r="D11">
        <v>3</v>
      </c>
    </row>
    <row r="12" spans="1:6" x14ac:dyDescent="0.3">
      <c r="A12" t="s">
        <v>55</v>
      </c>
      <c r="B12">
        <v>4</v>
      </c>
      <c r="C12">
        <v>0</v>
      </c>
      <c r="D12">
        <v>1</v>
      </c>
    </row>
    <row r="13" spans="1:6" x14ac:dyDescent="0.3">
      <c r="A13" t="s">
        <v>56</v>
      </c>
      <c r="B13">
        <v>0</v>
      </c>
      <c r="C13">
        <v>0</v>
      </c>
      <c r="D13">
        <v>0</v>
      </c>
    </row>
    <row r="14" spans="1:6" x14ac:dyDescent="0.3">
      <c r="A14" t="s">
        <v>2</v>
      </c>
      <c r="B14">
        <f>SUBTOTAL(109,Tabla22[[Favorable ]])</f>
        <v>25</v>
      </c>
      <c r="C14">
        <f>SUBTOTAL(109,Tabla22[Desfavorable])</f>
        <v>6</v>
      </c>
      <c r="D14">
        <f>SUBTOTAL(109,Tabla22[Archivo])</f>
        <v>22</v>
      </c>
    </row>
  </sheetData>
  <hyperlinks>
    <hyperlink ref="F1" location="ÍNDICE!A1" display="ir a índice" xr:uid="{B2A6FF60-A026-4DA9-A62B-0532A1D8CA4C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5E6EF-AE4A-4048-9B4D-DB7FFE72C1F6}">
  <sheetPr>
    <tabColor theme="7" tint="-0.249977111117893"/>
  </sheetPr>
  <dimension ref="A1:G14"/>
  <sheetViews>
    <sheetView workbookViewId="0">
      <selection activeCell="G1" sqref="G1"/>
    </sheetView>
  </sheetViews>
  <sheetFormatPr baseColWidth="10" defaultRowHeight="16.5" x14ac:dyDescent="0.3"/>
  <cols>
    <col min="1" max="1" width="36.75" customWidth="1"/>
    <col min="2" max="2" width="11.375" customWidth="1"/>
    <col min="3" max="3" width="13.75" customWidth="1"/>
  </cols>
  <sheetData>
    <row r="1" spans="1:7" x14ac:dyDescent="0.3">
      <c r="A1" s="1" t="s">
        <v>72</v>
      </c>
      <c r="G1" s="4" t="s">
        <v>8</v>
      </c>
    </row>
    <row r="2" spans="1:7" x14ac:dyDescent="0.3">
      <c r="A2" s="1" t="s">
        <v>46</v>
      </c>
    </row>
    <row r="3" spans="1:7" x14ac:dyDescent="0.3">
      <c r="A3" t="s">
        <v>9</v>
      </c>
      <c r="B3" t="s">
        <v>67</v>
      </c>
      <c r="C3" t="s">
        <v>11</v>
      </c>
      <c r="D3" t="s">
        <v>68</v>
      </c>
      <c r="E3" t="s">
        <v>2</v>
      </c>
    </row>
    <row r="4" spans="1:7" x14ac:dyDescent="0.3">
      <c r="A4" t="s">
        <v>58</v>
      </c>
      <c r="B4">
        <v>17</v>
      </c>
      <c r="C4">
        <v>2</v>
      </c>
      <c r="D4">
        <v>5</v>
      </c>
      <c r="E4">
        <v>24</v>
      </c>
    </row>
    <row r="5" spans="1:7" x14ac:dyDescent="0.3">
      <c r="A5" t="s">
        <v>48</v>
      </c>
      <c r="B5">
        <v>1</v>
      </c>
      <c r="C5">
        <v>0</v>
      </c>
      <c r="D5">
        <v>2</v>
      </c>
      <c r="E5">
        <v>3</v>
      </c>
    </row>
    <row r="6" spans="1:7" x14ac:dyDescent="0.3">
      <c r="A6" t="s">
        <v>49</v>
      </c>
      <c r="B6">
        <v>13</v>
      </c>
      <c r="C6">
        <v>3</v>
      </c>
      <c r="D6">
        <v>12</v>
      </c>
      <c r="E6">
        <v>28</v>
      </c>
    </row>
    <row r="7" spans="1:7" x14ac:dyDescent="0.3">
      <c r="A7" t="s">
        <v>50</v>
      </c>
      <c r="B7">
        <v>0</v>
      </c>
      <c r="C7">
        <v>0</v>
      </c>
      <c r="D7">
        <v>0</v>
      </c>
      <c r="E7">
        <v>0</v>
      </c>
    </row>
    <row r="8" spans="1:7" x14ac:dyDescent="0.3">
      <c r="A8" t="s">
        <v>59</v>
      </c>
      <c r="B8">
        <v>1</v>
      </c>
      <c r="C8">
        <v>1</v>
      </c>
      <c r="D8">
        <v>0</v>
      </c>
      <c r="E8">
        <v>2</v>
      </c>
    </row>
    <row r="9" spans="1:7" x14ac:dyDescent="0.3">
      <c r="A9" t="s">
        <v>52</v>
      </c>
      <c r="B9">
        <v>2</v>
      </c>
      <c r="C9">
        <v>0</v>
      </c>
      <c r="D9">
        <v>1</v>
      </c>
      <c r="E9">
        <v>3</v>
      </c>
    </row>
    <row r="10" spans="1:7" x14ac:dyDescent="0.3">
      <c r="A10" t="s">
        <v>53</v>
      </c>
      <c r="B10">
        <v>3</v>
      </c>
      <c r="C10">
        <v>0</v>
      </c>
      <c r="D10">
        <v>1</v>
      </c>
      <c r="E10">
        <v>4</v>
      </c>
    </row>
    <row r="11" spans="1:7" x14ac:dyDescent="0.3">
      <c r="A11" t="s">
        <v>54</v>
      </c>
      <c r="B11">
        <v>7</v>
      </c>
      <c r="C11">
        <v>5</v>
      </c>
      <c r="D11">
        <v>7</v>
      </c>
      <c r="E11">
        <v>19</v>
      </c>
    </row>
    <row r="12" spans="1:7" x14ac:dyDescent="0.3">
      <c r="A12" t="s">
        <v>55</v>
      </c>
      <c r="B12">
        <v>25</v>
      </c>
      <c r="C12">
        <v>10</v>
      </c>
      <c r="D12">
        <v>11</v>
      </c>
      <c r="E12">
        <v>46</v>
      </c>
    </row>
    <row r="13" spans="1:7" x14ac:dyDescent="0.3">
      <c r="A13" t="s">
        <v>56</v>
      </c>
      <c r="B13">
        <v>0</v>
      </c>
      <c r="C13">
        <v>0</v>
      </c>
      <c r="D13">
        <v>0</v>
      </c>
      <c r="E13">
        <v>0</v>
      </c>
    </row>
    <row r="14" spans="1:7" x14ac:dyDescent="0.3">
      <c r="A14" t="s">
        <v>2</v>
      </c>
      <c r="B14">
        <f>SUBTOTAL(109,Tabla23[[Favorable ]])</f>
        <v>69</v>
      </c>
      <c r="C14">
        <f>SUBTOTAL(109,Tabla23[Desfavorable])</f>
        <v>21</v>
      </c>
      <c r="D14">
        <f>SUBTOTAL(109,Tabla23[Archivo])</f>
        <v>39</v>
      </c>
      <c r="E14">
        <f>SUBTOTAL(109,Tabla23[Total])</f>
        <v>129</v>
      </c>
    </row>
  </sheetData>
  <hyperlinks>
    <hyperlink ref="G1" location="ÍNDICE!A1" display="ir a índice" xr:uid="{55BB7EF0-E2C0-4B09-ACEF-4F61A4A92532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E3463-F368-4189-9802-FC7F3525FCA9}">
  <sheetPr>
    <tabColor theme="7" tint="-0.249977111117893"/>
  </sheetPr>
  <dimension ref="A1:G17"/>
  <sheetViews>
    <sheetView workbookViewId="0">
      <selection activeCell="G1" sqref="G1"/>
    </sheetView>
  </sheetViews>
  <sheetFormatPr baseColWidth="10" defaultRowHeight="16.5" x14ac:dyDescent="0.3"/>
  <cols>
    <col min="1" max="1" width="36.75" customWidth="1"/>
    <col min="3" max="3" width="13.75" customWidth="1"/>
  </cols>
  <sheetData>
    <row r="1" spans="1:7" x14ac:dyDescent="0.3">
      <c r="A1" s="1" t="s">
        <v>85</v>
      </c>
      <c r="G1" s="4" t="s">
        <v>8</v>
      </c>
    </row>
    <row r="2" spans="1:7" x14ac:dyDescent="0.3">
      <c r="A2" s="1" t="s">
        <v>46</v>
      </c>
    </row>
    <row r="3" spans="1:7" x14ac:dyDescent="0.3">
      <c r="A3" t="s">
        <v>9</v>
      </c>
      <c r="B3" t="s">
        <v>10</v>
      </c>
      <c r="C3" t="s">
        <v>11</v>
      </c>
      <c r="D3" t="s">
        <v>68</v>
      </c>
      <c r="E3" t="s">
        <v>2</v>
      </c>
    </row>
    <row r="4" spans="1:7" x14ac:dyDescent="0.3">
      <c r="A4" t="s">
        <v>73</v>
      </c>
      <c r="B4">
        <v>0</v>
      </c>
      <c r="C4">
        <v>0</v>
      </c>
      <c r="D4">
        <v>0</v>
      </c>
      <c r="E4">
        <v>0</v>
      </c>
    </row>
    <row r="5" spans="1:7" x14ac:dyDescent="0.3">
      <c r="A5" t="s">
        <v>74</v>
      </c>
      <c r="B5">
        <v>1</v>
      </c>
      <c r="C5">
        <v>0</v>
      </c>
      <c r="D5">
        <v>0</v>
      </c>
      <c r="E5">
        <v>1</v>
      </c>
    </row>
    <row r="6" spans="1:7" x14ac:dyDescent="0.3">
      <c r="A6" t="s">
        <v>75</v>
      </c>
      <c r="B6">
        <v>0</v>
      </c>
      <c r="C6">
        <v>0</v>
      </c>
      <c r="D6">
        <v>0</v>
      </c>
      <c r="E6">
        <v>0</v>
      </c>
    </row>
    <row r="7" spans="1:7" x14ac:dyDescent="0.3">
      <c r="A7" t="s">
        <v>76</v>
      </c>
      <c r="B7">
        <v>0</v>
      </c>
      <c r="C7">
        <v>0</v>
      </c>
      <c r="D7">
        <v>0</v>
      </c>
      <c r="E7">
        <v>0</v>
      </c>
    </row>
    <row r="8" spans="1:7" x14ac:dyDescent="0.3">
      <c r="A8" t="s">
        <v>77</v>
      </c>
      <c r="B8">
        <v>0</v>
      </c>
      <c r="C8">
        <v>0</v>
      </c>
      <c r="D8">
        <v>0</v>
      </c>
      <c r="E8">
        <v>0</v>
      </c>
    </row>
    <row r="9" spans="1:7" x14ac:dyDescent="0.3">
      <c r="A9" t="s">
        <v>78</v>
      </c>
      <c r="B9">
        <v>0</v>
      </c>
      <c r="C9">
        <v>0</v>
      </c>
      <c r="D9">
        <v>0</v>
      </c>
      <c r="E9">
        <v>0</v>
      </c>
    </row>
    <row r="10" spans="1:7" x14ac:dyDescent="0.3">
      <c r="A10" t="s">
        <v>79</v>
      </c>
      <c r="B10">
        <v>0</v>
      </c>
      <c r="C10">
        <v>0</v>
      </c>
      <c r="D10">
        <v>0</v>
      </c>
      <c r="E10">
        <v>0</v>
      </c>
    </row>
    <row r="11" spans="1:7" x14ac:dyDescent="0.3">
      <c r="A11" t="s">
        <v>17</v>
      </c>
      <c r="B11">
        <v>0</v>
      </c>
      <c r="C11">
        <v>0</v>
      </c>
      <c r="D11">
        <v>0</v>
      </c>
      <c r="E11">
        <v>0</v>
      </c>
    </row>
    <row r="12" spans="1:7" x14ac:dyDescent="0.3">
      <c r="A12" t="s">
        <v>80</v>
      </c>
      <c r="B12">
        <v>0</v>
      </c>
      <c r="C12">
        <v>0</v>
      </c>
      <c r="D12">
        <v>0</v>
      </c>
      <c r="E12">
        <v>0</v>
      </c>
    </row>
    <row r="13" spans="1:7" x14ac:dyDescent="0.3">
      <c r="A13" t="s">
        <v>81</v>
      </c>
      <c r="B13">
        <v>0</v>
      </c>
      <c r="C13">
        <v>0</v>
      </c>
      <c r="D13">
        <v>0</v>
      </c>
      <c r="E13">
        <v>0</v>
      </c>
    </row>
    <row r="14" spans="1:7" x14ac:dyDescent="0.3">
      <c r="A14" t="s">
        <v>82</v>
      </c>
      <c r="B14">
        <v>1</v>
      </c>
      <c r="C14">
        <v>0</v>
      </c>
      <c r="D14">
        <v>0</v>
      </c>
      <c r="E14">
        <v>1</v>
      </c>
    </row>
    <row r="15" spans="1:7" x14ac:dyDescent="0.3">
      <c r="A15" t="s">
        <v>83</v>
      </c>
      <c r="B15">
        <v>2</v>
      </c>
      <c r="C15">
        <v>0</v>
      </c>
      <c r="D15">
        <v>1</v>
      </c>
      <c r="E15">
        <v>3</v>
      </c>
    </row>
    <row r="16" spans="1:7" x14ac:dyDescent="0.3">
      <c r="A16" t="s">
        <v>84</v>
      </c>
      <c r="B16">
        <v>51</v>
      </c>
      <c r="C16">
        <v>2</v>
      </c>
      <c r="D16">
        <v>3</v>
      </c>
      <c r="E16">
        <v>56</v>
      </c>
    </row>
    <row r="17" spans="1:5" x14ac:dyDescent="0.3">
      <c r="A17" t="s">
        <v>2</v>
      </c>
      <c r="B17">
        <f>SUBTOTAL(109,Tabla24[Favorable])</f>
        <v>55</v>
      </c>
      <c r="C17">
        <f>SUBTOTAL(109,Tabla24[Desfavorable])</f>
        <v>2</v>
      </c>
      <c r="D17">
        <f>SUBTOTAL(109,Tabla24[Archivo])</f>
        <v>4</v>
      </c>
      <c r="E17">
        <f>SUBTOTAL(109,Tabla24[Total])</f>
        <v>61</v>
      </c>
    </row>
  </sheetData>
  <hyperlinks>
    <hyperlink ref="G1" location="ÍNDICE!A1" display="ir a índice" xr:uid="{55B864E2-F64A-4788-BF64-D520FD3C0B99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0AD57-82F2-4EE6-AF46-EDDB90262798}">
  <sheetPr>
    <tabColor theme="7" tint="-0.249977111117893"/>
  </sheetPr>
  <dimension ref="A1:D10"/>
  <sheetViews>
    <sheetView workbookViewId="0">
      <selection activeCell="D1" sqref="D1"/>
    </sheetView>
  </sheetViews>
  <sheetFormatPr baseColWidth="10" defaultRowHeight="16.5" x14ac:dyDescent="0.3"/>
  <cols>
    <col min="1" max="1" width="33.5" bestFit="1" customWidth="1"/>
    <col min="2" max="2" width="19" customWidth="1"/>
  </cols>
  <sheetData>
    <row r="1" spans="1:4" x14ac:dyDescent="0.3">
      <c r="A1" s="1" t="s">
        <v>102</v>
      </c>
      <c r="D1" s="4" t="s">
        <v>8</v>
      </c>
    </row>
    <row r="2" spans="1:4" x14ac:dyDescent="0.3">
      <c r="A2" s="1" t="s">
        <v>46</v>
      </c>
    </row>
    <row r="3" spans="1:4" x14ac:dyDescent="0.3">
      <c r="A3" t="s">
        <v>86</v>
      </c>
      <c r="B3" t="s">
        <v>87</v>
      </c>
    </row>
    <row r="4" spans="1:4" x14ac:dyDescent="0.3">
      <c r="A4" t="s">
        <v>88</v>
      </c>
      <c r="B4" t="s">
        <v>89</v>
      </c>
    </row>
    <row r="5" spans="1:4" x14ac:dyDescent="0.3">
      <c r="A5" t="s">
        <v>90</v>
      </c>
      <c r="B5" t="s">
        <v>91</v>
      </c>
    </row>
    <row r="6" spans="1:4" x14ac:dyDescent="0.3">
      <c r="A6" t="s">
        <v>92</v>
      </c>
      <c r="B6" t="s">
        <v>93</v>
      </c>
    </row>
    <row r="7" spans="1:4" x14ac:dyDescent="0.3">
      <c r="A7" t="s">
        <v>94</v>
      </c>
      <c r="B7" t="s">
        <v>95</v>
      </c>
    </row>
    <row r="8" spans="1:4" x14ac:dyDescent="0.3">
      <c r="A8" t="s">
        <v>96</v>
      </c>
      <c r="B8" t="s">
        <v>97</v>
      </c>
    </row>
    <row r="9" spans="1:4" x14ac:dyDescent="0.3">
      <c r="A9" t="s">
        <v>98</v>
      </c>
      <c r="B9" t="s">
        <v>99</v>
      </c>
    </row>
    <row r="10" spans="1:4" x14ac:dyDescent="0.3">
      <c r="A10" t="s">
        <v>100</v>
      </c>
      <c r="B10" t="s">
        <v>101</v>
      </c>
    </row>
  </sheetData>
  <hyperlinks>
    <hyperlink ref="D1" location="ÍNDICE!A1" display="ir a índice" xr:uid="{944C1BFA-71EF-4400-9ED8-AD13B3A0C03E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C33EB-8904-4899-B532-C361ECD5EF0F}">
  <sheetPr>
    <tabColor theme="7" tint="-0.249977111117893"/>
  </sheetPr>
  <dimension ref="A1:E20"/>
  <sheetViews>
    <sheetView workbookViewId="0">
      <selection activeCell="E1" sqref="E1"/>
    </sheetView>
  </sheetViews>
  <sheetFormatPr baseColWidth="10" defaultColWidth="11" defaultRowHeight="16.5" x14ac:dyDescent="0.3"/>
  <cols>
    <col min="1" max="1" width="56.125" customWidth="1"/>
    <col min="2" max="2" width="12.5" customWidth="1"/>
    <col min="3" max="3" width="13.75" customWidth="1"/>
    <col min="4" max="4" width="11.125" customWidth="1"/>
  </cols>
  <sheetData>
    <row r="1" spans="1:5" x14ac:dyDescent="0.3">
      <c r="A1" s="1" t="s">
        <v>28</v>
      </c>
      <c r="E1" s="4" t="s">
        <v>8</v>
      </c>
    </row>
    <row r="2" spans="1:5" x14ac:dyDescent="0.3">
      <c r="A2" s="1" t="s">
        <v>29</v>
      </c>
    </row>
    <row r="3" spans="1:5" x14ac:dyDescent="0.3">
      <c r="A3" t="s">
        <v>9</v>
      </c>
      <c r="B3" t="s">
        <v>10</v>
      </c>
      <c r="C3" t="s">
        <v>11</v>
      </c>
      <c r="D3" t="s">
        <v>12</v>
      </c>
    </row>
    <row r="4" spans="1:5" x14ac:dyDescent="0.3">
      <c r="A4" t="s">
        <v>13</v>
      </c>
      <c r="B4">
        <v>1</v>
      </c>
      <c r="C4">
        <v>0</v>
      </c>
      <c r="D4">
        <v>0</v>
      </c>
    </row>
    <row r="5" spans="1:5" x14ac:dyDescent="0.3">
      <c r="A5" t="s">
        <v>14</v>
      </c>
      <c r="B5">
        <v>1</v>
      </c>
      <c r="C5">
        <v>0</v>
      </c>
      <c r="D5">
        <v>0</v>
      </c>
    </row>
    <row r="6" spans="1:5" x14ac:dyDescent="0.3">
      <c r="A6" t="s">
        <v>15</v>
      </c>
      <c r="B6">
        <v>0</v>
      </c>
      <c r="C6">
        <v>0</v>
      </c>
      <c r="D6">
        <v>0</v>
      </c>
    </row>
    <row r="7" spans="1:5" x14ac:dyDescent="0.3">
      <c r="A7" t="s">
        <v>16</v>
      </c>
      <c r="B7">
        <v>18</v>
      </c>
      <c r="C7">
        <v>3</v>
      </c>
      <c r="D7">
        <v>0</v>
      </c>
    </row>
    <row r="8" spans="1:5" x14ac:dyDescent="0.3">
      <c r="A8" t="s">
        <v>17</v>
      </c>
      <c r="B8">
        <v>7</v>
      </c>
      <c r="C8">
        <v>0</v>
      </c>
      <c r="D8">
        <v>2</v>
      </c>
    </row>
    <row r="9" spans="1:5" x14ac:dyDescent="0.3">
      <c r="A9" t="s">
        <v>18</v>
      </c>
      <c r="B9">
        <v>5</v>
      </c>
      <c r="C9">
        <v>0</v>
      </c>
      <c r="D9">
        <v>0</v>
      </c>
    </row>
    <row r="10" spans="1:5" x14ac:dyDescent="0.3">
      <c r="A10" t="s">
        <v>19</v>
      </c>
      <c r="B10">
        <v>0</v>
      </c>
      <c r="C10">
        <v>0</v>
      </c>
      <c r="D10">
        <v>0</v>
      </c>
    </row>
    <row r="11" spans="1:5" x14ac:dyDescent="0.3">
      <c r="A11" t="s">
        <v>20</v>
      </c>
      <c r="B11">
        <v>0</v>
      </c>
      <c r="C11">
        <v>0</v>
      </c>
      <c r="D11">
        <v>0</v>
      </c>
    </row>
    <row r="12" spans="1:5" x14ac:dyDescent="0.3">
      <c r="A12" t="s">
        <v>21</v>
      </c>
      <c r="B12">
        <v>216</v>
      </c>
      <c r="C12">
        <v>8</v>
      </c>
      <c r="D12">
        <v>19</v>
      </c>
    </row>
    <row r="13" spans="1:5" x14ac:dyDescent="0.3">
      <c r="A13" t="s">
        <v>22</v>
      </c>
      <c r="B13">
        <v>2</v>
      </c>
      <c r="C13">
        <v>0</v>
      </c>
      <c r="D13">
        <v>0</v>
      </c>
    </row>
    <row r="14" spans="1:5" x14ac:dyDescent="0.3">
      <c r="A14" t="s">
        <v>23</v>
      </c>
      <c r="B14">
        <v>0</v>
      </c>
      <c r="C14">
        <v>0</v>
      </c>
      <c r="D14">
        <v>0</v>
      </c>
    </row>
    <row r="15" spans="1:5" x14ac:dyDescent="0.3">
      <c r="A15" t="s">
        <v>24</v>
      </c>
      <c r="B15">
        <v>0</v>
      </c>
      <c r="C15">
        <v>0</v>
      </c>
      <c r="D15">
        <v>0</v>
      </c>
    </row>
    <row r="16" spans="1:5" x14ac:dyDescent="0.3">
      <c r="A16" t="s">
        <v>25</v>
      </c>
      <c r="B16">
        <v>0</v>
      </c>
      <c r="C16">
        <v>0</v>
      </c>
      <c r="D16">
        <v>0</v>
      </c>
    </row>
    <row r="17" spans="1:4" x14ac:dyDescent="0.3">
      <c r="A17" t="s">
        <v>26</v>
      </c>
      <c r="B17">
        <v>0</v>
      </c>
      <c r="C17">
        <v>0</v>
      </c>
      <c r="D17">
        <v>0</v>
      </c>
    </row>
    <row r="18" spans="1:4" x14ac:dyDescent="0.3">
      <c r="A18" t="s">
        <v>27</v>
      </c>
      <c r="B18">
        <v>0</v>
      </c>
      <c r="C18">
        <v>0</v>
      </c>
      <c r="D18">
        <v>0</v>
      </c>
    </row>
    <row r="19" spans="1:4" x14ac:dyDescent="0.3">
      <c r="A19" t="s">
        <v>2</v>
      </c>
      <c r="B19">
        <f>SUBTOTAL(109,Tabla4[Favorable])</f>
        <v>250</v>
      </c>
      <c r="C19">
        <f>SUBTOTAL(109,Tabla4[Desfavorable])</f>
        <v>11</v>
      </c>
      <c r="D19">
        <f>SUBTOTAL(109,Tabla4[Archivado])</f>
        <v>21</v>
      </c>
    </row>
    <row r="20" spans="1:4" x14ac:dyDescent="0.3">
      <c r="A20" t="s">
        <v>30</v>
      </c>
    </row>
  </sheetData>
  <hyperlinks>
    <hyperlink ref="E1" location="ÍNDICE!A1" display="ir a índice" xr:uid="{FF4EC220-07F7-4095-B25D-9FD03F187C4C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36EEC-7112-45CB-8EBB-5F3845CC90B1}">
  <sheetPr>
    <tabColor theme="7" tint="-0.249977111117893"/>
  </sheetPr>
  <dimension ref="A1:D8"/>
  <sheetViews>
    <sheetView workbookViewId="0">
      <selection activeCell="D1" sqref="D1"/>
    </sheetView>
  </sheetViews>
  <sheetFormatPr baseColWidth="10" defaultRowHeight="16.5" x14ac:dyDescent="0.3"/>
  <cols>
    <col min="1" max="1" width="47" bestFit="1" customWidth="1"/>
    <col min="2" max="2" width="23.125" customWidth="1"/>
  </cols>
  <sheetData>
    <row r="1" spans="1:4" x14ac:dyDescent="0.3">
      <c r="A1" s="1" t="s">
        <v>109</v>
      </c>
      <c r="D1" s="4" t="s">
        <v>8</v>
      </c>
    </row>
    <row r="2" spans="1:4" x14ac:dyDescent="0.3">
      <c r="A2" s="1" t="s">
        <v>110</v>
      </c>
    </row>
    <row r="3" spans="1:4" x14ac:dyDescent="0.3">
      <c r="A3" t="s">
        <v>103</v>
      </c>
      <c r="B3" t="s">
        <v>104</v>
      </c>
    </row>
    <row r="4" spans="1:4" x14ac:dyDescent="0.3">
      <c r="A4" t="s">
        <v>105</v>
      </c>
      <c r="B4">
        <v>118</v>
      </c>
    </row>
    <row r="5" spans="1:4" x14ac:dyDescent="0.3">
      <c r="A5" t="s">
        <v>106</v>
      </c>
      <c r="B5">
        <v>376</v>
      </c>
    </row>
    <row r="6" spans="1:4" x14ac:dyDescent="0.3">
      <c r="A6" t="s">
        <v>107</v>
      </c>
      <c r="B6">
        <v>501</v>
      </c>
    </row>
    <row r="7" spans="1:4" x14ac:dyDescent="0.3">
      <c r="A7" t="s">
        <v>108</v>
      </c>
      <c r="B7">
        <v>198</v>
      </c>
    </row>
    <row r="8" spans="1:4" x14ac:dyDescent="0.3">
      <c r="A8" t="s">
        <v>2</v>
      </c>
      <c r="B8">
        <f>SUBTOTAL(109,Tabla26[Número de inspecciones])</f>
        <v>1193</v>
      </c>
    </row>
  </sheetData>
  <hyperlinks>
    <hyperlink ref="D1" location="ÍNDICE!A1" display="ir a índice" xr:uid="{7EF350D2-C5CD-46D1-B6AC-01D40C74906F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60863-E6E2-4F9F-8AFB-48B139BB036C}">
  <sheetPr>
    <tabColor theme="7" tint="-0.249977111117893"/>
  </sheetPr>
  <dimension ref="A1:H9"/>
  <sheetViews>
    <sheetView workbookViewId="0">
      <selection activeCell="E28" sqref="E28"/>
    </sheetView>
  </sheetViews>
  <sheetFormatPr baseColWidth="10" defaultRowHeight="16.5" x14ac:dyDescent="0.3"/>
  <cols>
    <col min="1" max="1" width="25.875" bestFit="1" customWidth="1"/>
    <col min="2" max="2" width="10.625" customWidth="1"/>
    <col min="3" max="3" width="7" customWidth="1"/>
  </cols>
  <sheetData>
    <row r="1" spans="1:8" x14ac:dyDescent="0.3">
      <c r="A1" s="1" t="s">
        <v>119</v>
      </c>
      <c r="H1" s="4" t="s">
        <v>8</v>
      </c>
    </row>
    <row r="2" spans="1:8" x14ac:dyDescent="0.3">
      <c r="A2" s="1" t="s">
        <v>110</v>
      </c>
    </row>
    <row r="3" spans="1:8" x14ac:dyDescent="0.3">
      <c r="A3" t="s">
        <v>7</v>
      </c>
      <c r="B3" t="s">
        <v>111</v>
      </c>
      <c r="C3" t="s">
        <v>112</v>
      </c>
    </row>
    <row r="4" spans="1:8" x14ac:dyDescent="0.3">
      <c r="A4" t="s">
        <v>113</v>
      </c>
      <c r="B4">
        <v>682</v>
      </c>
      <c r="C4">
        <v>57.2</v>
      </c>
    </row>
    <row r="5" spans="1:8" x14ac:dyDescent="0.3">
      <c r="A5" t="s">
        <v>114</v>
      </c>
      <c r="B5">
        <v>118</v>
      </c>
      <c r="C5">
        <v>9.9</v>
      </c>
    </row>
    <row r="6" spans="1:8" x14ac:dyDescent="0.3">
      <c r="A6" t="s">
        <v>115</v>
      </c>
      <c r="B6">
        <v>95</v>
      </c>
      <c r="C6">
        <v>8</v>
      </c>
    </row>
    <row r="7" spans="1:8" x14ac:dyDescent="0.3">
      <c r="A7" t="s">
        <v>116</v>
      </c>
      <c r="B7">
        <v>5</v>
      </c>
      <c r="C7">
        <v>0.4</v>
      </c>
    </row>
    <row r="8" spans="1:8" x14ac:dyDescent="0.3">
      <c r="A8" t="s">
        <v>117</v>
      </c>
      <c r="B8">
        <v>20</v>
      </c>
      <c r="C8">
        <v>1.7</v>
      </c>
    </row>
    <row r="9" spans="1:8" x14ac:dyDescent="0.3">
      <c r="A9" t="s">
        <v>118</v>
      </c>
      <c r="B9">
        <v>273</v>
      </c>
      <c r="C9">
        <v>22.9</v>
      </c>
    </row>
  </sheetData>
  <hyperlinks>
    <hyperlink ref="H1" location="ÍNDICE!A1" display="ir a índice" xr:uid="{78482B47-C448-4AAA-B82B-EE8A2D3DA2FA}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C3ADA-D6BC-4A94-8FCE-09DD00C5E8F9}">
  <sheetPr>
    <tabColor theme="7" tint="-0.249977111117893"/>
  </sheetPr>
  <dimension ref="A1:F13"/>
  <sheetViews>
    <sheetView workbookViewId="0">
      <selection activeCell="F1" sqref="F1"/>
    </sheetView>
  </sheetViews>
  <sheetFormatPr baseColWidth="10" defaultRowHeight="16.5" x14ac:dyDescent="0.3"/>
  <cols>
    <col min="2" max="2" width="31.375" customWidth="1"/>
    <col min="3" max="3" width="33.125" customWidth="1"/>
    <col min="4" max="4" width="32.875" customWidth="1"/>
  </cols>
  <sheetData>
    <row r="1" spans="1:6" x14ac:dyDescent="0.3">
      <c r="A1" s="1" t="s">
        <v>132</v>
      </c>
      <c r="F1" s="4" t="s">
        <v>8</v>
      </c>
    </row>
    <row r="2" spans="1:6" x14ac:dyDescent="0.3">
      <c r="A2" s="1" t="s">
        <v>134</v>
      </c>
    </row>
    <row r="3" spans="1:6" x14ac:dyDescent="0.3">
      <c r="A3" t="s">
        <v>120</v>
      </c>
      <c r="B3" t="s">
        <v>121</v>
      </c>
      <c r="C3" t="s">
        <v>122</v>
      </c>
      <c r="D3" t="s">
        <v>123</v>
      </c>
    </row>
    <row r="4" spans="1:6" x14ac:dyDescent="0.3">
      <c r="A4" t="s">
        <v>124</v>
      </c>
      <c r="B4">
        <v>61</v>
      </c>
      <c r="C4">
        <v>61</v>
      </c>
      <c r="D4">
        <v>16</v>
      </c>
    </row>
    <row r="5" spans="1:6" x14ac:dyDescent="0.3">
      <c r="A5" t="s">
        <v>125</v>
      </c>
      <c r="B5">
        <v>60</v>
      </c>
      <c r="C5">
        <v>55</v>
      </c>
      <c r="D5">
        <v>41</v>
      </c>
    </row>
    <row r="6" spans="1:6" x14ac:dyDescent="0.3">
      <c r="A6" t="s">
        <v>126</v>
      </c>
      <c r="B6">
        <v>652</v>
      </c>
      <c r="C6">
        <v>647</v>
      </c>
      <c r="D6">
        <v>564</v>
      </c>
    </row>
    <row r="7" spans="1:6" x14ac:dyDescent="0.3">
      <c r="A7" t="s">
        <v>127</v>
      </c>
      <c r="B7">
        <v>14</v>
      </c>
      <c r="C7">
        <v>14</v>
      </c>
      <c r="D7">
        <v>2</v>
      </c>
    </row>
    <row r="8" spans="1:6" x14ac:dyDescent="0.3">
      <c r="A8" t="s">
        <v>128</v>
      </c>
      <c r="B8">
        <v>513</v>
      </c>
      <c r="C8">
        <v>427</v>
      </c>
      <c r="D8">
        <v>327</v>
      </c>
    </row>
    <row r="9" spans="1:6" x14ac:dyDescent="0.3">
      <c r="A9" t="s">
        <v>129</v>
      </c>
      <c r="B9">
        <v>95</v>
      </c>
      <c r="C9">
        <v>67</v>
      </c>
      <c r="D9">
        <v>60</v>
      </c>
    </row>
    <row r="10" spans="1:6" x14ac:dyDescent="0.3">
      <c r="A10" t="s">
        <v>130</v>
      </c>
      <c r="B10">
        <v>147</v>
      </c>
      <c r="C10">
        <v>145</v>
      </c>
      <c r="D10">
        <v>71</v>
      </c>
    </row>
    <row r="11" spans="1:6" x14ac:dyDescent="0.3">
      <c r="A11" t="s">
        <v>131</v>
      </c>
      <c r="B11">
        <v>3</v>
      </c>
      <c r="C11">
        <v>3</v>
      </c>
      <c r="D11">
        <v>0</v>
      </c>
    </row>
    <row r="12" spans="1:6" x14ac:dyDescent="0.3">
      <c r="A12" t="s">
        <v>2</v>
      </c>
      <c r="B12">
        <f>SUBTOTAL(109,Tabla28[Número de denuncias presentadas])</f>
        <v>1545</v>
      </c>
      <c r="C12">
        <f>SUBTOTAL(109,Tabla28[Número de expedientes incoados (*)])</f>
        <v>1419</v>
      </c>
      <c r="D12">
        <f>SUBTOTAL(109,Tabla28[Número de resoluciones dictadas (*)])</f>
        <v>1081</v>
      </c>
    </row>
    <row r="13" spans="1:6" x14ac:dyDescent="0.3">
      <c r="A13" s="1" t="s">
        <v>133</v>
      </c>
    </row>
  </sheetData>
  <hyperlinks>
    <hyperlink ref="F1" location="ÍNDICE!A1" display="ir a índice" xr:uid="{4AEBD919-121E-40C7-8D41-C74B9D151724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6F474-CF8D-47BB-91E8-4744D61E0A8B}">
  <sheetPr>
    <tabColor theme="7" tint="-0.249977111117893"/>
  </sheetPr>
  <dimension ref="A1:F13"/>
  <sheetViews>
    <sheetView workbookViewId="0">
      <selection activeCell="F1" sqref="F1"/>
    </sheetView>
  </sheetViews>
  <sheetFormatPr baseColWidth="10" defaultRowHeight="16.5" x14ac:dyDescent="0.3"/>
  <cols>
    <col min="2" max="2" width="31.375" customWidth="1"/>
    <col min="3" max="3" width="33.125" customWidth="1"/>
    <col min="4" max="4" width="32.875" customWidth="1"/>
  </cols>
  <sheetData>
    <row r="1" spans="1:6" x14ac:dyDescent="0.3">
      <c r="A1" s="1" t="s">
        <v>135</v>
      </c>
      <c r="F1" s="4" t="s">
        <v>8</v>
      </c>
    </row>
    <row r="2" spans="1:6" x14ac:dyDescent="0.3">
      <c r="A2" s="5" t="s">
        <v>136</v>
      </c>
    </row>
    <row r="3" spans="1:6" x14ac:dyDescent="0.3">
      <c r="A3" t="s">
        <v>120</v>
      </c>
      <c r="B3" t="s">
        <v>121</v>
      </c>
      <c r="C3" t="s">
        <v>122</v>
      </c>
      <c r="D3" t="s">
        <v>123</v>
      </c>
    </row>
    <row r="4" spans="1:6" x14ac:dyDescent="0.3">
      <c r="A4" t="s">
        <v>124</v>
      </c>
      <c r="B4">
        <v>20</v>
      </c>
      <c r="C4">
        <v>4</v>
      </c>
      <c r="D4">
        <v>4</v>
      </c>
    </row>
    <row r="5" spans="1:6" x14ac:dyDescent="0.3">
      <c r="A5" t="s">
        <v>125</v>
      </c>
      <c r="B5">
        <v>59</v>
      </c>
      <c r="C5">
        <v>29</v>
      </c>
      <c r="D5">
        <v>24</v>
      </c>
    </row>
    <row r="6" spans="1:6" x14ac:dyDescent="0.3">
      <c r="A6" t="s">
        <v>126</v>
      </c>
      <c r="B6">
        <v>45</v>
      </c>
      <c r="C6">
        <v>21</v>
      </c>
      <c r="D6">
        <v>15</v>
      </c>
    </row>
    <row r="7" spans="1:6" x14ac:dyDescent="0.3">
      <c r="A7" t="s">
        <v>127</v>
      </c>
      <c r="B7">
        <v>2</v>
      </c>
      <c r="C7">
        <v>1</v>
      </c>
      <c r="D7">
        <v>0</v>
      </c>
    </row>
    <row r="8" spans="1:6" x14ac:dyDescent="0.3">
      <c r="A8" t="s">
        <v>128</v>
      </c>
      <c r="B8">
        <v>304</v>
      </c>
      <c r="C8">
        <v>288</v>
      </c>
      <c r="D8">
        <v>274</v>
      </c>
    </row>
    <row r="9" spans="1:6" x14ac:dyDescent="0.3">
      <c r="A9" t="s">
        <v>129</v>
      </c>
      <c r="B9">
        <v>8</v>
      </c>
      <c r="C9">
        <v>8</v>
      </c>
      <c r="D9">
        <v>8</v>
      </c>
    </row>
    <row r="10" spans="1:6" x14ac:dyDescent="0.3">
      <c r="A10" t="s">
        <v>130</v>
      </c>
      <c r="B10">
        <v>45</v>
      </c>
      <c r="C10">
        <v>38</v>
      </c>
      <c r="D10">
        <v>36</v>
      </c>
    </row>
    <row r="11" spans="1:6" x14ac:dyDescent="0.3">
      <c r="A11" t="s">
        <v>131</v>
      </c>
      <c r="B11">
        <v>5</v>
      </c>
      <c r="C11">
        <v>4</v>
      </c>
      <c r="D11">
        <v>4</v>
      </c>
    </row>
    <row r="12" spans="1:6" x14ac:dyDescent="0.3">
      <c r="A12" t="s">
        <v>2</v>
      </c>
      <c r="B12">
        <f>SUBTOTAL(109,Tabla29[Número de denuncias presentadas])</f>
        <v>488</v>
      </c>
      <c r="C12">
        <f>SUBTOTAL(109,Tabla29[Número de expedientes incoados (*)])</f>
        <v>393</v>
      </c>
      <c r="D12">
        <f>SUBTOTAL(109,Tabla29[Número de resoluciones dictadas (*)])</f>
        <v>365</v>
      </c>
    </row>
    <row r="13" spans="1:6" x14ac:dyDescent="0.3">
      <c r="A13" s="1" t="s">
        <v>133</v>
      </c>
    </row>
  </sheetData>
  <hyperlinks>
    <hyperlink ref="F1" location="ÍNDICE!A1" display="ir a índice" xr:uid="{17BAECD0-31D2-4E79-9FF6-75A7A21488F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97580-06AA-49F4-BB0C-FC6920C43A4A}">
  <sheetPr>
    <tabColor theme="7" tint="-0.249977111117893"/>
  </sheetPr>
  <dimension ref="A1:F13"/>
  <sheetViews>
    <sheetView workbookViewId="0">
      <selection activeCell="F1" sqref="F1"/>
    </sheetView>
  </sheetViews>
  <sheetFormatPr baseColWidth="10" defaultRowHeight="16.5" x14ac:dyDescent="0.3"/>
  <cols>
    <col min="2" max="2" width="31.375" customWidth="1"/>
    <col min="3" max="3" width="33.125" customWidth="1"/>
    <col min="4" max="4" width="32.875" customWidth="1"/>
  </cols>
  <sheetData>
    <row r="1" spans="1:6" x14ac:dyDescent="0.3">
      <c r="A1" s="1" t="s">
        <v>137</v>
      </c>
      <c r="F1" s="4" t="s">
        <v>8</v>
      </c>
    </row>
    <row r="2" spans="1:6" x14ac:dyDescent="0.3">
      <c r="A2" s="1" t="s">
        <v>138</v>
      </c>
    </row>
    <row r="3" spans="1:6" x14ac:dyDescent="0.3">
      <c r="A3" t="s">
        <v>120</v>
      </c>
      <c r="B3" t="s">
        <v>121</v>
      </c>
      <c r="C3" t="s">
        <v>122</v>
      </c>
      <c r="D3" t="s">
        <v>123</v>
      </c>
    </row>
    <row r="4" spans="1:6" x14ac:dyDescent="0.3">
      <c r="A4" t="s">
        <v>124</v>
      </c>
      <c r="B4">
        <v>45</v>
      </c>
      <c r="C4">
        <v>3</v>
      </c>
      <c r="D4">
        <v>3</v>
      </c>
    </row>
    <row r="5" spans="1:6" x14ac:dyDescent="0.3">
      <c r="A5" t="s">
        <v>125</v>
      </c>
      <c r="B5">
        <v>97</v>
      </c>
      <c r="C5">
        <v>72</v>
      </c>
      <c r="D5">
        <v>72</v>
      </c>
    </row>
    <row r="6" spans="1:6" x14ac:dyDescent="0.3">
      <c r="A6" t="s">
        <v>126</v>
      </c>
      <c r="B6">
        <v>133</v>
      </c>
      <c r="C6">
        <v>125</v>
      </c>
      <c r="D6">
        <v>125</v>
      </c>
    </row>
    <row r="7" spans="1:6" x14ac:dyDescent="0.3">
      <c r="A7" t="s">
        <v>127</v>
      </c>
      <c r="B7">
        <v>8</v>
      </c>
      <c r="C7">
        <v>1</v>
      </c>
      <c r="D7">
        <v>1</v>
      </c>
    </row>
    <row r="8" spans="1:6" x14ac:dyDescent="0.3">
      <c r="A8" t="s">
        <v>128</v>
      </c>
      <c r="B8">
        <v>272</v>
      </c>
      <c r="C8">
        <v>202</v>
      </c>
      <c r="D8">
        <v>201</v>
      </c>
    </row>
    <row r="9" spans="1:6" x14ac:dyDescent="0.3">
      <c r="A9" t="s">
        <v>129</v>
      </c>
      <c r="B9">
        <v>447</v>
      </c>
      <c r="C9">
        <v>413</v>
      </c>
      <c r="D9">
        <v>413</v>
      </c>
    </row>
    <row r="10" spans="1:6" x14ac:dyDescent="0.3">
      <c r="A10" t="s">
        <v>130</v>
      </c>
      <c r="B10">
        <v>201</v>
      </c>
      <c r="C10">
        <v>126</v>
      </c>
      <c r="D10">
        <v>126</v>
      </c>
    </row>
    <row r="11" spans="1:6" x14ac:dyDescent="0.3">
      <c r="A11" t="s">
        <v>131</v>
      </c>
      <c r="B11">
        <v>7</v>
      </c>
      <c r="C11">
        <v>4</v>
      </c>
      <c r="D11">
        <v>4</v>
      </c>
    </row>
    <row r="12" spans="1:6" x14ac:dyDescent="0.3">
      <c r="A12" t="s">
        <v>2</v>
      </c>
      <c r="B12">
        <f>SUBTOTAL(109,Tabla30[Número de denuncias presentadas])</f>
        <v>1210</v>
      </c>
      <c r="C12">
        <f>SUBTOTAL(109,Tabla30[Número de expedientes incoados (*)])</f>
        <v>946</v>
      </c>
      <c r="D12">
        <f>SUBTOTAL(109,Tabla30[Número de resoluciones dictadas (*)])</f>
        <v>945</v>
      </c>
    </row>
    <row r="13" spans="1:6" x14ac:dyDescent="0.3">
      <c r="A13" s="1" t="s">
        <v>133</v>
      </c>
    </row>
  </sheetData>
  <hyperlinks>
    <hyperlink ref="F1" location="ÍNDICE!A1" display="ir a índice" xr:uid="{A5DC67D5-6083-486A-9227-AC70597B330D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07869-BA12-41F0-B617-4BC52F11058E}">
  <sheetPr>
    <tabColor theme="7" tint="-0.249977111117893"/>
  </sheetPr>
  <dimension ref="A1:F13"/>
  <sheetViews>
    <sheetView workbookViewId="0">
      <selection activeCell="F1" sqref="F1"/>
    </sheetView>
  </sheetViews>
  <sheetFormatPr baseColWidth="10" defaultRowHeight="16.5" x14ac:dyDescent="0.3"/>
  <cols>
    <col min="2" max="2" width="31.375" customWidth="1"/>
    <col min="3" max="3" width="33.125" customWidth="1"/>
    <col min="4" max="4" width="32.875" customWidth="1"/>
  </cols>
  <sheetData>
    <row r="1" spans="1:6" x14ac:dyDescent="0.3">
      <c r="A1" s="1" t="s">
        <v>139</v>
      </c>
      <c r="F1" s="4" t="s">
        <v>8</v>
      </c>
    </row>
    <row r="2" spans="1:6" x14ac:dyDescent="0.3">
      <c r="A2" s="1" t="s">
        <v>140</v>
      </c>
    </row>
    <row r="3" spans="1:6" x14ac:dyDescent="0.3">
      <c r="A3" t="s">
        <v>120</v>
      </c>
      <c r="B3" t="s">
        <v>121</v>
      </c>
      <c r="C3" t="s">
        <v>122</v>
      </c>
      <c r="D3" t="s">
        <v>123</v>
      </c>
    </row>
    <row r="4" spans="1:6" x14ac:dyDescent="0.3">
      <c r="A4" t="s">
        <v>124</v>
      </c>
      <c r="B4">
        <v>126</v>
      </c>
      <c r="C4">
        <v>68</v>
      </c>
      <c r="D4">
        <v>23</v>
      </c>
    </row>
    <row r="5" spans="1:6" x14ac:dyDescent="0.3">
      <c r="A5" t="s">
        <v>125</v>
      </c>
      <c r="B5">
        <v>216</v>
      </c>
      <c r="C5">
        <v>156</v>
      </c>
      <c r="D5">
        <v>137</v>
      </c>
    </row>
    <row r="6" spans="1:6" x14ac:dyDescent="0.3">
      <c r="A6" t="s">
        <v>126</v>
      </c>
      <c r="B6">
        <v>830</v>
      </c>
      <c r="C6">
        <v>793</v>
      </c>
      <c r="D6">
        <v>704</v>
      </c>
    </row>
    <row r="7" spans="1:6" x14ac:dyDescent="0.3">
      <c r="A7" t="s">
        <v>127</v>
      </c>
      <c r="B7">
        <v>24</v>
      </c>
      <c r="C7">
        <v>16</v>
      </c>
      <c r="D7">
        <v>3</v>
      </c>
    </row>
    <row r="8" spans="1:6" x14ac:dyDescent="0.3">
      <c r="A8" t="s">
        <v>128</v>
      </c>
      <c r="B8">
        <v>1089</v>
      </c>
      <c r="C8">
        <v>917</v>
      </c>
      <c r="D8">
        <v>802</v>
      </c>
    </row>
    <row r="9" spans="1:6" x14ac:dyDescent="0.3">
      <c r="A9" t="s">
        <v>129</v>
      </c>
      <c r="B9">
        <v>550</v>
      </c>
      <c r="C9">
        <v>488</v>
      </c>
      <c r="D9">
        <v>481</v>
      </c>
    </row>
    <row r="10" spans="1:6" x14ac:dyDescent="0.3">
      <c r="A10" t="s">
        <v>130</v>
      </c>
      <c r="B10">
        <v>393</v>
      </c>
      <c r="C10">
        <v>309</v>
      </c>
      <c r="D10">
        <v>233</v>
      </c>
    </row>
    <row r="11" spans="1:6" x14ac:dyDescent="0.3">
      <c r="A11" t="s">
        <v>131</v>
      </c>
      <c r="B11">
        <v>15</v>
      </c>
      <c r="C11">
        <v>11</v>
      </c>
      <c r="D11">
        <v>8</v>
      </c>
    </row>
    <row r="12" spans="1:6" x14ac:dyDescent="0.3">
      <c r="A12" t="s">
        <v>2</v>
      </c>
      <c r="B12">
        <f>SUBTOTAL(109,Tabla31[Número de denuncias presentadas])</f>
        <v>3243</v>
      </c>
      <c r="C12">
        <f>SUBTOTAL(109,Tabla31[Número de expedientes incoados (*)])</f>
        <v>2758</v>
      </c>
      <c r="D12">
        <f>SUBTOTAL(109,Tabla31[Número de resoluciones dictadas (*)])</f>
        <v>2391</v>
      </c>
    </row>
    <row r="13" spans="1:6" x14ac:dyDescent="0.3">
      <c r="A13" s="1" t="s">
        <v>133</v>
      </c>
    </row>
  </sheetData>
  <hyperlinks>
    <hyperlink ref="F1" location="ÍNDICE!A1" display="ir a índice" xr:uid="{37AF2ABA-446D-4C6B-8A2F-EE4DF49BF806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044A8-8AFA-41D5-93D8-F18397B4C342}">
  <sheetPr>
    <tabColor theme="7" tint="-0.249977111117893"/>
  </sheetPr>
  <dimension ref="A1:F8"/>
  <sheetViews>
    <sheetView workbookViewId="0">
      <selection activeCell="F25" sqref="F25"/>
    </sheetView>
  </sheetViews>
  <sheetFormatPr baseColWidth="10" defaultRowHeight="16.5" x14ac:dyDescent="0.3"/>
  <cols>
    <col min="1" max="1" width="26.5" bestFit="1" customWidth="1"/>
    <col min="2" max="2" width="12.625" customWidth="1"/>
    <col min="3" max="3" width="11.125" customWidth="1"/>
    <col min="4" max="4" width="30.375" customWidth="1"/>
  </cols>
  <sheetData>
    <row r="1" spans="1:6" x14ac:dyDescent="0.3">
      <c r="A1" s="1" t="s">
        <v>149</v>
      </c>
      <c r="F1" s="4" t="s">
        <v>8</v>
      </c>
    </row>
    <row r="2" spans="1:6" x14ac:dyDescent="0.3">
      <c r="A2" s="1" t="s">
        <v>46</v>
      </c>
    </row>
    <row r="3" spans="1:6" x14ac:dyDescent="0.3">
      <c r="A3" t="s">
        <v>141</v>
      </c>
      <c r="B3" t="s">
        <v>142</v>
      </c>
      <c r="C3" t="s">
        <v>143</v>
      </c>
      <c r="D3" t="s">
        <v>144</v>
      </c>
    </row>
    <row r="4" spans="1:6" x14ac:dyDescent="0.3">
      <c r="A4" t="s">
        <v>145</v>
      </c>
      <c r="B4">
        <v>4702</v>
      </c>
      <c r="C4">
        <v>3884</v>
      </c>
      <c r="D4" s="6">
        <v>0.27700000000000002</v>
      </c>
    </row>
    <row r="5" spans="1:6" x14ac:dyDescent="0.3">
      <c r="A5" t="s">
        <v>146</v>
      </c>
      <c r="B5">
        <v>4882</v>
      </c>
      <c r="C5">
        <v>2612</v>
      </c>
      <c r="D5" s="6">
        <v>0.28799999999999998</v>
      </c>
    </row>
    <row r="6" spans="1:6" x14ac:dyDescent="0.3">
      <c r="A6" t="s">
        <v>147</v>
      </c>
      <c r="B6">
        <v>4393</v>
      </c>
      <c r="C6">
        <v>2938</v>
      </c>
      <c r="D6" s="6">
        <v>0.25900000000000001</v>
      </c>
    </row>
    <row r="7" spans="1:6" x14ac:dyDescent="0.3">
      <c r="A7" t="s">
        <v>148</v>
      </c>
      <c r="B7">
        <v>2981</v>
      </c>
      <c r="C7">
        <v>1735</v>
      </c>
      <c r="D7" s="6">
        <v>0.17599999999999999</v>
      </c>
    </row>
    <row r="8" spans="1:6" x14ac:dyDescent="0.3">
      <c r="A8" t="s">
        <v>2</v>
      </c>
      <c r="B8" s="8">
        <f>SUBTOTAL(109,Tabla32[[Tramitados ]])</f>
        <v>16958</v>
      </c>
      <c r="C8" s="8">
        <f>SUBTOTAL(109,Tabla32[[Resueltos ]])</f>
        <v>11169</v>
      </c>
      <c r="D8" s="7">
        <f>SUBTOTAL(109,Tabla32[% Expedientes respecto del total ])</f>
        <v>1</v>
      </c>
    </row>
  </sheetData>
  <hyperlinks>
    <hyperlink ref="F1" location="ÍNDICE!A1" display="ir a índice" xr:uid="{29BC3D2D-73A3-4EFA-98AB-1B069BBEAC23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FEAA3-08E0-4E64-B849-7E17D12A60BD}">
  <sheetPr>
    <tabColor theme="7" tint="-0.249977111117893"/>
  </sheetPr>
  <dimension ref="A1:E20"/>
  <sheetViews>
    <sheetView workbookViewId="0">
      <selection activeCell="A23" sqref="A23"/>
    </sheetView>
  </sheetViews>
  <sheetFormatPr baseColWidth="10" defaultColWidth="11" defaultRowHeight="16.5" x14ac:dyDescent="0.3"/>
  <cols>
    <col min="1" max="1" width="51.25" customWidth="1"/>
    <col min="2" max="2" width="11.125" customWidth="1"/>
    <col min="3" max="3" width="13.75" customWidth="1"/>
    <col min="4" max="4" width="11.125" customWidth="1"/>
  </cols>
  <sheetData>
    <row r="1" spans="1:5" x14ac:dyDescent="0.3">
      <c r="A1" s="1" t="s">
        <v>31</v>
      </c>
      <c r="E1" s="4" t="s">
        <v>8</v>
      </c>
    </row>
    <row r="2" spans="1:5" x14ac:dyDescent="0.3">
      <c r="A2" s="1" t="s">
        <v>29</v>
      </c>
    </row>
    <row r="3" spans="1:5" x14ac:dyDescent="0.3">
      <c r="A3" t="s">
        <v>9</v>
      </c>
      <c r="B3" t="s">
        <v>10</v>
      </c>
      <c r="C3" t="s">
        <v>11</v>
      </c>
      <c r="D3" t="s">
        <v>12</v>
      </c>
    </row>
    <row r="4" spans="1:5" x14ac:dyDescent="0.3">
      <c r="A4" t="s">
        <v>13</v>
      </c>
      <c r="B4">
        <v>1</v>
      </c>
      <c r="C4">
        <v>0</v>
      </c>
      <c r="D4">
        <v>0</v>
      </c>
    </row>
    <row r="5" spans="1:5" x14ac:dyDescent="0.3">
      <c r="A5" t="s">
        <v>14</v>
      </c>
      <c r="B5">
        <v>2</v>
      </c>
      <c r="C5">
        <v>0</v>
      </c>
      <c r="D5">
        <v>1</v>
      </c>
    </row>
    <row r="6" spans="1:5" x14ac:dyDescent="0.3">
      <c r="A6" t="s">
        <v>15</v>
      </c>
      <c r="B6">
        <v>6</v>
      </c>
      <c r="C6">
        <v>0</v>
      </c>
      <c r="D6">
        <v>1</v>
      </c>
    </row>
    <row r="7" spans="1:5" x14ac:dyDescent="0.3">
      <c r="A7" t="s">
        <v>16</v>
      </c>
      <c r="B7">
        <v>9</v>
      </c>
      <c r="C7">
        <v>0</v>
      </c>
      <c r="D7">
        <v>0</v>
      </c>
    </row>
    <row r="8" spans="1:5" x14ac:dyDescent="0.3">
      <c r="A8" t="s">
        <v>17</v>
      </c>
      <c r="B8">
        <v>3</v>
      </c>
      <c r="C8">
        <v>0</v>
      </c>
      <c r="D8">
        <v>0</v>
      </c>
    </row>
    <row r="9" spans="1:5" x14ac:dyDescent="0.3">
      <c r="A9" t="s">
        <v>18</v>
      </c>
      <c r="B9">
        <v>1</v>
      </c>
      <c r="C9">
        <v>0</v>
      </c>
      <c r="D9">
        <v>0</v>
      </c>
    </row>
    <row r="10" spans="1:5" x14ac:dyDescent="0.3">
      <c r="A10" t="s">
        <v>19</v>
      </c>
      <c r="B10">
        <v>0</v>
      </c>
      <c r="C10">
        <v>0</v>
      </c>
      <c r="D10">
        <v>0</v>
      </c>
    </row>
    <row r="11" spans="1:5" x14ac:dyDescent="0.3">
      <c r="A11" t="s">
        <v>20</v>
      </c>
      <c r="B11">
        <v>0</v>
      </c>
      <c r="C11">
        <v>2</v>
      </c>
      <c r="D11">
        <v>3</v>
      </c>
    </row>
    <row r="12" spans="1:5" x14ac:dyDescent="0.3">
      <c r="A12" t="s">
        <v>21</v>
      </c>
      <c r="B12">
        <v>52</v>
      </c>
      <c r="C12">
        <v>0</v>
      </c>
      <c r="D12">
        <v>0</v>
      </c>
    </row>
    <row r="13" spans="1:5" x14ac:dyDescent="0.3">
      <c r="A13" t="s">
        <v>22</v>
      </c>
      <c r="B13">
        <v>0</v>
      </c>
      <c r="C13">
        <v>0</v>
      </c>
      <c r="D13">
        <v>0</v>
      </c>
    </row>
    <row r="14" spans="1:5" x14ac:dyDescent="0.3">
      <c r="A14" t="s">
        <v>23</v>
      </c>
      <c r="B14">
        <v>0</v>
      </c>
      <c r="C14">
        <v>0</v>
      </c>
      <c r="D14">
        <v>0</v>
      </c>
    </row>
    <row r="15" spans="1:5" x14ac:dyDescent="0.3">
      <c r="A15" t="s">
        <v>24</v>
      </c>
      <c r="B15">
        <v>0</v>
      </c>
      <c r="C15">
        <v>0</v>
      </c>
      <c r="D15">
        <v>0</v>
      </c>
    </row>
    <row r="16" spans="1:5" x14ac:dyDescent="0.3">
      <c r="A16" t="s">
        <v>25</v>
      </c>
      <c r="B16">
        <v>0</v>
      </c>
      <c r="C16">
        <v>0</v>
      </c>
      <c r="D16">
        <v>0</v>
      </c>
    </row>
    <row r="17" spans="1:4" x14ac:dyDescent="0.3">
      <c r="A17" t="s">
        <v>26</v>
      </c>
      <c r="B17">
        <v>0</v>
      </c>
      <c r="C17">
        <v>0</v>
      </c>
      <c r="D17">
        <v>0</v>
      </c>
    </row>
    <row r="18" spans="1:4" x14ac:dyDescent="0.3">
      <c r="A18" t="s">
        <v>27</v>
      </c>
      <c r="B18">
        <v>0</v>
      </c>
      <c r="C18">
        <v>0</v>
      </c>
      <c r="D18">
        <v>0</v>
      </c>
    </row>
    <row r="19" spans="1:4" x14ac:dyDescent="0.3">
      <c r="A19" t="s">
        <v>2</v>
      </c>
      <c r="B19">
        <f>SUBTOTAL(109,Tabla5[Favorable])</f>
        <v>74</v>
      </c>
      <c r="C19">
        <f>SUBTOTAL(109,Tabla5[Desfavorable])</f>
        <v>2</v>
      </c>
      <c r="D19">
        <f>SUBTOTAL(109,Tabla5[Archivado])</f>
        <v>5</v>
      </c>
    </row>
    <row r="20" spans="1:4" x14ac:dyDescent="0.3">
      <c r="A20" t="s">
        <v>30</v>
      </c>
    </row>
  </sheetData>
  <hyperlinks>
    <hyperlink ref="E1" location="ÍNDICE!A1" display="ir a índice" xr:uid="{74A3C770-1E37-4307-B6CE-1F9BC4271832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2E89D-4AD1-42E5-A6C1-13BD25D44836}">
  <sheetPr>
    <tabColor theme="7" tint="-0.249977111117893"/>
  </sheetPr>
  <dimension ref="A1:E20"/>
  <sheetViews>
    <sheetView workbookViewId="0">
      <selection activeCell="B28" sqref="B28"/>
    </sheetView>
  </sheetViews>
  <sheetFormatPr baseColWidth="10" defaultColWidth="11" defaultRowHeight="16.5" x14ac:dyDescent="0.3"/>
  <cols>
    <col min="1" max="1" width="36.75" customWidth="1"/>
    <col min="2" max="2" width="26.25" customWidth="1"/>
    <col min="3" max="3" width="24.25" customWidth="1"/>
    <col min="4" max="4" width="14.625" customWidth="1"/>
    <col min="5" max="5" width="23.5" customWidth="1"/>
  </cols>
  <sheetData>
    <row r="1" spans="1:5" x14ac:dyDescent="0.3">
      <c r="A1" s="1" t="s">
        <v>32</v>
      </c>
      <c r="E1" s="4" t="s">
        <v>8</v>
      </c>
    </row>
    <row r="2" spans="1:5" x14ac:dyDescent="0.3">
      <c r="A2" s="1" t="s">
        <v>33</v>
      </c>
    </row>
    <row r="3" spans="1:5" x14ac:dyDescent="0.3">
      <c r="A3" t="s">
        <v>9</v>
      </c>
      <c r="B3" t="s">
        <v>10</v>
      </c>
      <c r="C3" t="s">
        <v>11</v>
      </c>
      <c r="D3" t="s">
        <v>12</v>
      </c>
    </row>
    <row r="4" spans="1:5" x14ac:dyDescent="0.3">
      <c r="A4" t="s">
        <v>13</v>
      </c>
      <c r="B4">
        <v>2</v>
      </c>
      <c r="C4">
        <v>0</v>
      </c>
      <c r="D4">
        <v>0</v>
      </c>
    </row>
    <row r="5" spans="1:5" x14ac:dyDescent="0.3">
      <c r="A5" t="s">
        <v>14</v>
      </c>
      <c r="B5">
        <v>7</v>
      </c>
      <c r="C5">
        <v>0</v>
      </c>
      <c r="D5">
        <v>2</v>
      </c>
    </row>
    <row r="6" spans="1:5" x14ac:dyDescent="0.3">
      <c r="A6" t="s">
        <v>15</v>
      </c>
      <c r="B6">
        <v>5</v>
      </c>
      <c r="C6">
        <v>0</v>
      </c>
      <c r="D6">
        <v>0</v>
      </c>
    </row>
    <row r="7" spans="1:5" x14ac:dyDescent="0.3">
      <c r="A7" t="s">
        <v>16</v>
      </c>
      <c r="B7">
        <v>19</v>
      </c>
      <c r="C7">
        <v>0</v>
      </c>
      <c r="D7">
        <v>0</v>
      </c>
    </row>
    <row r="8" spans="1:5" x14ac:dyDescent="0.3">
      <c r="A8" t="s">
        <v>17</v>
      </c>
      <c r="B8">
        <v>11</v>
      </c>
      <c r="C8">
        <v>1</v>
      </c>
      <c r="D8">
        <v>1</v>
      </c>
    </row>
    <row r="9" spans="1:5" x14ac:dyDescent="0.3">
      <c r="A9" t="s">
        <v>18</v>
      </c>
      <c r="B9">
        <v>7</v>
      </c>
      <c r="C9">
        <v>0</v>
      </c>
      <c r="D9">
        <v>1</v>
      </c>
    </row>
    <row r="10" spans="1:5" x14ac:dyDescent="0.3">
      <c r="A10" t="s">
        <v>19</v>
      </c>
      <c r="B10">
        <v>0</v>
      </c>
      <c r="C10">
        <v>0</v>
      </c>
      <c r="D10">
        <v>0</v>
      </c>
    </row>
    <row r="11" spans="1:5" x14ac:dyDescent="0.3">
      <c r="A11" t="s">
        <v>20</v>
      </c>
      <c r="B11">
        <v>0</v>
      </c>
      <c r="C11">
        <v>0</v>
      </c>
      <c r="D11">
        <v>0</v>
      </c>
    </row>
    <row r="12" spans="1:5" x14ac:dyDescent="0.3">
      <c r="A12" t="s">
        <v>21</v>
      </c>
      <c r="B12">
        <v>145</v>
      </c>
      <c r="C12">
        <v>5</v>
      </c>
      <c r="D12">
        <v>14</v>
      </c>
    </row>
    <row r="13" spans="1:5" x14ac:dyDescent="0.3">
      <c r="A13" t="s">
        <v>22</v>
      </c>
      <c r="B13">
        <v>4</v>
      </c>
      <c r="C13">
        <v>0</v>
      </c>
      <c r="D13">
        <v>0</v>
      </c>
    </row>
    <row r="14" spans="1:5" x14ac:dyDescent="0.3">
      <c r="A14" t="s">
        <v>23</v>
      </c>
      <c r="B14">
        <v>0</v>
      </c>
      <c r="C14">
        <v>0</v>
      </c>
      <c r="D14">
        <v>0</v>
      </c>
    </row>
    <row r="15" spans="1:5" x14ac:dyDescent="0.3">
      <c r="A15" t="s">
        <v>24</v>
      </c>
      <c r="B15">
        <v>0</v>
      </c>
      <c r="C15">
        <v>0</v>
      </c>
      <c r="D15">
        <v>0</v>
      </c>
    </row>
    <row r="16" spans="1:5" x14ac:dyDescent="0.3">
      <c r="A16" t="s">
        <v>25</v>
      </c>
      <c r="B16">
        <v>0</v>
      </c>
      <c r="C16">
        <v>0</v>
      </c>
      <c r="D16">
        <v>0</v>
      </c>
    </row>
    <row r="17" spans="1:4" x14ac:dyDescent="0.3">
      <c r="A17" t="s">
        <v>26</v>
      </c>
      <c r="B17">
        <v>0</v>
      </c>
      <c r="C17">
        <v>0</v>
      </c>
      <c r="D17">
        <v>0</v>
      </c>
    </row>
    <row r="18" spans="1:4" x14ac:dyDescent="0.3">
      <c r="A18" t="s">
        <v>27</v>
      </c>
      <c r="B18">
        <v>0</v>
      </c>
      <c r="C18">
        <v>0</v>
      </c>
      <c r="D18">
        <v>0</v>
      </c>
    </row>
    <row r="19" spans="1:4" x14ac:dyDescent="0.3">
      <c r="A19" t="s">
        <v>2</v>
      </c>
      <c r="B19">
        <v>200</v>
      </c>
      <c r="C19">
        <v>6</v>
      </c>
      <c r="D19">
        <v>18</v>
      </c>
    </row>
    <row r="20" spans="1:4" x14ac:dyDescent="0.3">
      <c r="A20" t="s">
        <v>34</v>
      </c>
    </row>
  </sheetData>
  <hyperlinks>
    <hyperlink ref="E1" location="ÍNDICE!A1" display="ir a índice" xr:uid="{6D579CE9-87D7-453F-8535-8420485F640C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313E6-FE47-43DA-89B2-7516352557E0}">
  <sheetPr>
    <tabColor theme="7" tint="-0.249977111117893"/>
  </sheetPr>
  <dimension ref="A1:O4"/>
  <sheetViews>
    <sheetView workbookViewId="0">
      <selection activeCell="K29" sqref="K29"/>
    </sheetView>
  </sheetViews>
  <sheetFormatPr baseColWidth="10" defaultColWidth="11" defaultRowHeight="16.5" x14ac:dyDescent="0.3"/>
  <cols>
    <col min="1" max="1" width="36.75" customWidth="1"/>
    <col min="2" max="14" width="6.75" customWidth="1"/>
  </cols>
  <sheetData>
    <row r="1" spans="1:15" x14ac:dyDescent="0.3">
      <c r="A1" s="1" t="s">
        <v>45</v>
      </c>
      <c r="O1" s="4" t="s">
        <v>8</v>
      </c>
    </row>
    <row r="2" spans="1:15" x14ac:dyDescent="0.3">
      <c r="A2" s="1" t="s">
        <v>46</v>
      </c>
    </row>
    <row r="3" spans="1:15" x14ac:dyDescent="0.3">
      <c r="A3" t="s">
        <v>7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41</v>
      </c>
      <c r="H3" t="s">
        <v>42</v>
      </c>
      <c r="I3" t="s">
        <v>43</v>
      </c>
      <c r="J3" t="s">
        <v>44</v>
      </c>
      <c r="K3" t="s">
        <v>3</v>
      </c>
      <c r="L3" t="s">
        <v>4</v>
      </c>
      <c r="M3" t="s">
        <v>5</v>
      </c>
      <c r="N3" t="s">
        <v>6</v>
      </c>
    </row>
    <row r="4" spans="1:15" x14ac:dyDescent="0.3">
      <c r="A4" t="s">
        <v>35</v>
      </c>
      <c r="B4">
        <v>147</v>
      </c>
      <c r="C4">
        <v>195</v>
      </c>
      <c r="D4">
        <v>127</v>
      </c>
      <c r="E4">
        <v>104</v>
      </c>
      <c r="F4">
        <v>153</v>
      </c>
      <c r="G4">
        <v>112</v>
      </c>
      <c r="H4">
        <v>132</v>
      </c>
      <c r="I4">
        <v>319</v>
      </c>
      <c r="J4">
        <v>439</v>
      </c>
      <c r="K4">
        <v>375</v>
      </c>
      <c r="L4">
        <v>187</v>
      </c>
      <c r="M4">
        <v>339</v>
      </c>
      <c r="N4">
        <v>289</v>
      </c>
    </row>
  </sheetData>
  <hyperlinks>
    <hyperlink ref="O1" location="ÍNDICE!A1" display="ir a índice" xr:uid="{52DC2E03-7D7C-4AF3-BEDF-07C6549B4D1F}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EE475-7867-4FE0-85C6-276A82BB4B6D}">
  <sheetPr>
    <tabColor theme="7" tint="-0.249977111117893"/>
  </sheetPr>
  <dimension ref="A1:E15"/>
  <sheetViews>
    <sheetView workbookViewId="0">
      <selection activeCell="D15" sqref="D15"/>
    </sheetView>
  </sheetViews>
  <sheetFormatPr baseColWidth="10" defaultColWidth="11" defaultRowHeight="16.5" x14ac:dyDescent="0.3"/>
  <cols>
    <col min="1" max="1" width="61.25" customWidth="1"/>
    <col min="2" max="2" width="26.25" customWidth="1"/>
    <col min="3" max="3" width="24.25" customWidth="1"/>
    <col min="4" max="4" width="14.625" customWidth="1"/>
    <col min="5" max="5" width="23.5" customWidth="1"/>
  </cols>
  <sheetData>
    <row r="1" spans="1:5" x14ac:dyDescent="0.3">
      <c r="A1" s="1" t="s">
        <v>57</v>
      </c>
      <c r="E1" s="4" t="s">
        <v>8</v>
      </c>
    </row>
    <row r="2" spans="1:5" x14ac:dyDescent="0.3">
      <c r="A2" s="1" t="s">
        <v>46</v>
      </c>
    </row>
    <row r="3" spans="1:5" x14ac:dyDescent="0.3">
      <c r="A3" t="s">
        <v>9</v>
      </c>
      <c r="B3" t="s">
        <v>10</v>
      </c>
      <c r="C3" t="s">
        <v>11</v>
      </c>
      <c r="D3" t="s">
        <v>12</v>
      </c>
    </row>
    <row r="4" spans="1:5" x14ac:dyDescent="0.3">
      <c r="A4" t="s">
        <v>47</v>
      </c>
      <c r="B4">
        <v>51</v>
      </c>
      <c r="C4">
        <v>7</v>
      </c>
      <c r="D4">
        <v>8</v>
      </c>
    </row>
    <row r="5" spans="1:5" x14ac:dyDescent="0.3">
      <c r="A5" t="s">
        <v>48</v>
      </c>
      <c r="B5">
        <v>1</v>
      </c>
      <c r="C5">
        <v>0</v>
      </c>
      <c r="D5">
        <v>2</v>
      </c>
    </row>
    <row r="6" spans="1:5" x14ac:dyDescent="0.3">
      <c r="A6" t="s">
        <v>49</v>
      </c>
      <c r="B6">
        <v>2</v>
      </c>
      <c r="C6">
        <v>0</v>
      </c>
      <c r="D6">
        <v>0</v>
      </c>
    </row>
    <row r="7" spans="1:5" x14ac:dyDescent="0.3">
      <c r="A7" t="s">
        <v>50</v>
      </c>
      <c r="B7">
        <v>0</v>
      </c>
      <c r="C7">
        <v>0</v>
      </c>
      <c r="D7">
        <v>0</v>
      </c>
    </row>
    <row r="8" spans="1:5" x14ac:dyDescent="0.3">
      <c r="A8" t="s">
        <v>51</v>
      </c>
      <c r="B8">
        <v>3</v>
      </c>
      <c r="C8">
        <v>0</v>
      </c>
      <c r="D8">
        <v>0</v>
      </c>
    </row>
    <row r="9" spans="1:5" x14ac:dyDescent="0.3">
      <c r="A9" t="s">
        <v>52</v>
      </c>
      <c r="B9">
        <v>0</v>
      </c>
      <c r="C9">
        <v>0</v>
      </c>
      <c r="D9">
        <v>0</v>
      </c>
    </row>
    <row r="10" spans="1:5" x14ac:dyDescent="0.3">
      <c r="A10" t="s">
        <v>53</v>
      </c>
      <c r="B10">
        <v>0</v>
      </c>
      <c r="C10">
        <v>0</v>
      </c>
      <c r="D10">
        <v>0</v>
      </c>
    </row>
    <row r="11" spans="1:5" x14ac:dyDescent="0.3">
      <c r="A11" t="s">
        <v>54</v>
      </c>
      <c r="B11">
        <v>2</v>
      </c>
      <c r="C11">
        <v>0</v>
      </c>
      <c r="D11">
        <v>1</v>
      </c>
    </row>
    <row r="12" spans="1:5" x14ac:dyDescent="0.3">
      <c r="A12" t="s">
        <v>55</v>
      </c>
      <c r="B12">
        <v>4</v>
      </c>
      <c r="C12">
        <v>1</v>
      </c>
      <c r="D12">
        <v>0</v>
      </c>
    </row>
    <row r="13" spans="1:5" x14ac:dyDescent="0.3">
      <c r="A13" t="s">
        <v>56</v>
      </c>
      <c r="B13">
        <v>1</v>
      </c>
      <c r="C13">
        <v>0</v>
      </c>
      <c r="D13">
        <v>1</v>
      </c>
    </row>
    <row r="14" spans="1:5" x14ac:dyDescent="0.3">
      <c r="A14" t="s">
        <v>27</v>
      </c>
      <c r="B14">
        <v>0</v>
      </c>
      <c r="C14">
        <v>0</v>
      </c>
      <c r="D14">
        <v>0</v>
      </c>
    </row>
    <row r="15" spans="1:5" x14ac:dyDescent="0.3">
      <c r="A15" t="s">
        <v>2</v>
      </c>
      <c r="B15">
        <f>SUBTOTAL(109,Tabla11[Favorable])</f>
        <v>64</v>
      </c>
      <c r="C15">
        <f>SUBTOTAL(109,Tabla11[Desfavorable])</f>
        <v>8</v>
      </c>
      <c r="D15">
        <f>SUBTOTAL(109,Tabla11[Archivado])</f>
        <v>12</v>
      </c>
    </row>
  </sheetData>
  <hyperlinks>
    <hyperlink ref="E1" location="ÍNDICE!A1" display="ir a índice" xr:uid="{70315E7E-2D48-488B-B979-3DA8E42E376E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503C7-C72E-4679-BD04-2C5677C72E0E}">
  <sheetPr>
    <tabColor theme="7" tint="-0.249977111117893"/>
  </sheetPr>
  <dimension ref="A1:F15"/>
  <sheetViews>
    <sheetView workbookViewId="0">
      <selection activeCell="F1" sqref="F1"/>
    </sheetView>
  </sheetViews>
  <sheetFormatPr baseColWidth="10" defaultRowHeight="16.5" x14ac:dyDescent="0.3"/>
  <cols>
    <col min="1" max="1" width="36.75" customWidth="1"/>
    <col min="3" max="3" width="13.75" customWidth="1"/>
    <col min="4" max="4" width="11.125" customWidth="1"/>
  </cols>
  <sheetData>
    <row r="1" spans="1:6" x14ac:dyDescent="0.3">
      <c r="A1" s="1" t="s">
        <v>60</v>
      </c>
      <c r="F1" s="4" t="s">
        <v>8</v>
      </c>
    </row>
    <row r="2" spans="1:6" x14ac:dyDescent="0.3">
      <c r="A2" s="1" t="s">
        <v>46</v>
      </c>
    </row>
    <row r="3" spans="1:6" x14ac:dyDescent="0.3">
      <c r="A3" t="s">
        <v>9</v>
      </c>
      <c r="B3" t="s">
        <v>10</v>
      </c>
      <c r="C3" t="s">
        <v>11</v>
      </c>
      <c r="D3" t="s">
        <v>12</v>
      </c>
    </row>
    <row r="4" spans="1:6" x14ac:dyDescent="0.3">
      <c r="A4" t="s">
        <v>58</v>
      </c>
      <c r="B4">
        <v>12</v>
      </c>
      <c r="C4">
        <v>1</v>
      </c>
      <c r="D4">
        <v>0</v>
      </c>
    </row>
    <row r="5" spans="1:6" x14ac:dyDescent="0.3">
      <c r="A5" t="s">
        <v>48</v>
      </c>
      <c r="B5">
        <v>4</v>
      </c>
      <c r="C5">
        <v>1</v>
      </c>
      <c r="D5">
        <v>1</v>
      </c>
    </row>
    <row r="6" spans="1:6" x14ac:dyDescent="0.3">
      <c r="A6" t="s">
        <v>49</v>
      </c>
      <c r="B6">
        <v>4</v>
      </c>
      <c r="C6">
        <v>1</v>
      </c>
      <c r="D6">
        <v>2</v>
      </c>
    </row>
    <row r="7" spans="1:6" x14ac:dyDescent="0.3">
      <c r="A7" t="s">
        <v>50</v>
      </c>
      <c r="B7">
        <v>0</v>
      </c>
      <c r="C7">
        <v>0</v>
      </c>
      <c r="D7">
        <v>0</v>
      </c>
    </row>
    <row r="8" spans="1:6" x14ac:dyDescent="0.3">
      <c r="A8" t="s">
        <v>59</v>
      </c>
      <c r="B8">
        <v>1</v>
      </c>
      <c r="C8">
        <v>0</v>
      </c>
      <c r="D8">
        <v>0</v>
      </c>
    </row>
    <row r="9" spans="1:6" x14ac:dyDescent="0.3">
      <c r="A9" t="s">
        <v>52</v>
      </c>
      <c r="B9">
        <v>0</v>
      </c>
      <c r="C9">
        <v>0</v>
      </c>
      <c r="D9">
        <v>0</v>
      </c>
    </row>
    <row r="10" spans="1:6" x14ac:dyDescent="0.3">
      <c r="A10" t="s">
        <v>53</v>
      </c>
      <c r="B10">
        <v>0</v>
      </c>
      <c r="C10">
        <v>0</v>
      </c>
      <c r="D10">
        <v>0</v>
      </c>
    </row>
    <row r="11" spans="1:6" x14ac:dyDescent="0.3">
      <c r="A11" t="s">
        <v>54</v>
      </c>
      <c r="B11">
        <v>1</v>
      </c>
      <c r="C11">
        <v>0</v>
      </c>
      <c r="D11">
        <v>0</v>
      </c>
    </row>
    <row r="12" spans="1:6" x14ac:dyDescent="0.3">
      <c r="A12" t="s">
        <v>55</v>
      </c>
      <c r="B12">
        <v>1</v>
      </c>
      <c r="C12">
        <v>0</v>
      </c>
      <c r="D12">
        <v>0</v>
      </c>
    </row>
    <row r="13" spans="1:6" x14ac:dyDescent="0.3">
      <c r="A13" t="s">
        <v>56</v>
      </c>
      <c r="B13">
        <v>3</v>
      </c>
      <c r="C13">
        <v>0</v>
      </c>
      <c r="D13">
        <v>1</v>
      </c>
    </row>
    <row r="14" spans="1:6" x14ac:dyDescent="0.3">
      <c r="A14" t="s">
        <v>27</v>
      </c>
      <c r="B14">
        <v>0</v>
      </c>
      <c r="C14">
        <v>0</v>
      </c>
      <c r="D14">
        <v>0</v>
      </c>
    </row>
    <row r="15" spans="1:6" x14ac:dyDescent="0.3">
      <c r="A15" t="s">
        <v>2</v>
      </c>
      <c r="B15">
        <f>SUBTOTAL(109,Tabla12[Favorable])</f>
        <v>26</v>
      </c>
      <c r="C15">
        <f>SUBTOTAL(109,Tabla12[Desfavorable])</f>
        <v>3</v>
      </c>
      <c r="D15">
        <f>SUBTOTAL(109,Tabla12[Archivado])</f>
        <v>4</v>
      </c>
    </row>
  </sheetData>
  <hyperlinks>
    <hyperlink ref="F1" location="ÍNDICE!A1" display="ir a índice" xr:uid="{0AEADA49-0C50-4146-99B8-E57EB0DAEBF2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0A3ED-A6AC-4874-8445-BAF7862D2F1D}">
  <sheetPr>
    <tabColor theme="7" tint="-0.249977111117893"/>
  </sheetPr>
  <dimension ref="A1:F15"/>
  <sheetViews>
    <sheetView workbookViewId="0">
      <selection activeCell="F1" sqref="F1"/>
    </sheetView>
  </sheetViews>
  <sheetFormatPr baseColWidth="10" defaultRowHeight="16.5" x14ac:dyDescent="0.3"/>
  <cols>
    <col min="1" max="1" width="36.75" customWidth="1"/>
    <col min="3" max="3" width="13.75" customWidth="1"/>
    <col min="4" max="4" width="11.125" customWidth="1"/>
  </cols>
  <sheetData>
    <row r="1" spans="1:6" x14ac:dyDescent="0.3">
      <c r="A1" s="1" t="s">
        <v>61</v>
      </c>
      <c r="F1" s="4" t="s">
        <v>8</v>
      </c>
    </row>
    <row r="2" spans="1:6" x14ac:dyDescent="0.3">
      <c r="A2" s="1" t="s">
        <v>46</v>
      </c>
    </row>
    <row r="3" spans="1:6" x14ac:dyDescent="0.3">
      <c r="A3" t="s">
        <v>9</v>
      </c>
      <c r="B3" t="s">
        <v>10</v>
      </c>
      <c r="C3" t="s">
        <v>11</v>
      </c>
      <c r="D3" t="s">
        <v>12</v>
      </c>
    </row>
    <row r="4" spans="1:6" x14ac:dyDescent="0.3">
      <c r="A4" t="s">
        <v>58</v>
      </c>
      <c r="B4">
        <v>23</v>
      </c>
      <c r="C4">
        <v>4</v>
      </c>
      <c r="D4">
        <v>7</v>
      </c>
    </row>
    <row r="5" spans="1:6" x14ac:dyDescent="0.3">
      <c r="A5" t="s">
        <v>48</v>
      </c>
      <c r="B5">
        <v>3</v>
      </c>
      <c r="C5">
        <v>0</v>
      </c>
      <c r="D5">
        <v>1</v>
      </c>
    </row>
    <row r="6" spans="1:6" x14ac:dyDescent="0.3">
      <c r="A6" t="s">
        <v>49</v>
      </c>
      <c r="B6">
        <v>5</v>
      </c>
      <c r="C6">
        <v>1</v>
      </c>
      <c r="D6">
        <v>3</v>
      </c>
    </row>
    <row r="7" spans="1:6" x14ac:dyDescent="0.3">
      <c r="A7" t="s">
        <v>50</v>
      </c>
      <c r="B7">
        <v>0</v>
      </c>
      <c r="C7">
        <v>0</v>
      </c>
      <c r="D7">
        <v>0</v>
      </c>
    </row>
    <row r="8" spans="1:6" x14ac:dyDescent="0.3">
      <c r="A8" t="s">
        <v>59</v>
      </c>
      <c r="B8">
        <v>2</v>
      </c>
      <c r="C8">
        <v>0</v>
      </c>
      <c r="D8">
        <v>0</v>
      </c>
    </row>
    <row r="9" spans="1:6" x14ac:dyDescent="0.3">
      <c r="A9" t="s">
        <v>52</v>
      </c>
      <c r="B9">
        <v>0</v>
      </c>
      <c r="C9">
        <v>0</v>
      </c>
      <c r="D9">
        <v>0</v>
      </c>
    </row>
    <row r="10" spans="1:6" x14ac:dyDescent="0.3">
      <c r="A10" t="s">
        <v>53</v>
      </c>
      <c r="B10">
        <v>0</v>
      </c>
      <c r="C10">
        <v>0</v>
      </c>
      <c r="D10">
        <v>0</v>
      </c>
    </row>
    <row r="11" spans="1:6" x14ac:dyDescent="0.3">
      <c r="A11" t="s">
        <v>54</v>
      </c>
      <c r="B11">
        <v>1</v>
      </c>
      <c r="C11">
        <v>0</v>
      </c>
      <c r="D11">
        <v>0</v>
      </c>
    </row>
    <row r="12" spans="1:6" x14ac:dyDescent="0.3">
      <c r="A12" t="s">
        <v>55</v>
      </c>
      <c r="B12">
        <v>3</v>
      </c>
      <c r="C12">
        <v>0</v>
      </c>
      <c r="D12">
        <v>2</v>
      </c>
    </row>
    <row r="13" spans="1:6" x14ac:dyDescent="0.3">
      <c r="A13" t="s">
        <v>56</v>
      </c>
      <c r="B13">
        <v>1</v>
      </c>
      <c r="C13">
        <v>3</v>
      </c>
      <c r="D13">
        <v>0</v>
      </c>
    </row>
    <row r="14" spans="1:6" x14ac:dyDescent="0.3">
      <c r="A14" t="s">
        <v>27</v>
      </c>
      <c r="B14">
        <v>0</v>
      </c>
      <c r="C14">
        <v>0</v>
      </c>
      <c r="D14">
        <v>0</v>
      </c>
    </row>
    <row r="15" spans="1:6" x14ac:dyDescent="0.3">
      <c r="A15" t="s">
        <v>2</v>
      </c>
      <c r="B15">
        <f>SUBTOTAL(109,Tabla14[Favorable])</f>
        <v>38</v>
      </c>
      <c r="C15">
        <f>SUBTOTAL(109,Tabla14[Desfavorable])</f>
        <v>8</v>
      </c>
      <c r="D15">
        <f>SUBTOTAL(109,Tabla14[Archivado])</f>
        <v>13</v>
      </c>
    </row>
  </sheetData>
  <hyperlinks>
    <hyperlink ref="F1" location="ÍNDICE!A1" display="ir a índice" xr:uid="{4AE8C2F5-D753-4823-89B1-97E6DAC817B1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31A93-8A12-4DD7-8999-76B6F57ACEC0}">
  <sheetPr>
    <tabColor theme="7" tint="-0.249977111117893"/>
  </sheetPr>
  <dimension ref="A1:G15"/>
  <sheetViews>
    <sheetView workbookViewId="0">
      <selection activeCell="G1" sqref="G1"/>
    </sheetView>
  </sheetViews>
  <sheetFormatPr baseColWidth="10" defaultRowHeight="16.5" x14ac:dyDescent="0.3"/>
  <cols>
    <col min="1" max="1" width="36.75" customWidth="1"/>
    <col min="3" max="3" width="13.75" customWidth="1"/>
    <col min="4" max="4" width="11.125" customWidth="1"/>
  </cols>
  <sheetData>
    <row r="1" spans="1:7" x14ac:dyDescent="0.3">
      <c r="A1" s="1" t="s">
        <v>62</v>
      </c>
      <c r="G1" s="4" t="s">
        <v>8</v>
      </c>
    </row>
    <row r="2" spans="1:7" x14ac:dyDescent="0.3">
      <c r="A2" s="1" t="s">
        <v>46</v>
      </c>
    </row>
    <row r="3" spans="1:7" x14ac:dyDescent="0.3">
      <c r="A3" t="s">
        <v>9</v>
      </c>
      <c r="B3" t="s">
        <v>10</v>
      </c>
      <c r="C3" t="s">
        <v>11</v>
      </c>
      <c r="D3" t="s">
        <v>12</v>
      </c>
      <c r="E3" t="s">
        <v>2</v>
      </c>
    </row>
    <row r="4" spans="1:7" x14ac:dyDescent="0.3">
      <c r="A4" t="s">
        <v>58</v>
      </c>
      <c r="B4">
        <v>86</v>
      </c>
      <c r="C4">
        <v>12</v>
      </c>
      <c r="D4">
        <v>15</v>
      </c>
      <c r="E4">
        <v>113</v>
      </c>
    </row>
    <row r="5" spans="1:7" x14ac:dyDescent="0.3">
      <c r="A5" t="s">
        <v>48</v>
      </c>
      <c r="B5">
        <v>8</v>
      </c>
      <c r="C5">
        <v>1</v>
      </c>
      <c r="D5">
        <v>4</v>
      </c>
      <c r="E5">
        <v>13</v>
      </c>
    </row>
    <row r="6" spans="1:7" x14ac:dyDescent="0.3">
      <c r="A6" t="s">
        <v>49</v>
      </c>
      <c r="B6">
        <v>11</v>
      </c>
      <c r="C6">
        <v>2</v>
      </c>
      <c r="D6">
        <v>5</v>
      </c>
      <c r="E6">
        <v>18</v>
      </c>
    </row>
    <row r="7" spans="1:7" x14ac:dyDescent="0.3">
      <c r="A7" t="s">
        <v>50</v>
      </c>
      <c r="B7">
        <v>0</v>
      </c>
      <c r="C7">
        <v>0</v>
      </c>
      <c r="D7">
        <v>0</v>
      </c>
      <c r="E7">
        <v>0</v>
      </c>
    </row>
    <row r="8" spans="1:7" x14ac:dyDescent="0.3">
      <c r="A8" t="s">
        <v>59</v>
      </c>
      <c r="B8">
        <v>6</v>
      </c>
      <c r="C8">
        <v>0</v>
      </c>
      <c r="D8">
        <v>0</v>
      </c>
      <c r="E8">
        <v>6</v>
      </c>
    </row>
    <row r="9" spans="1:7" x14ac:dyDescent="0.3">
      <c r="A9" t="s">
        <v>52</v>
      </c>
      <c r="B9">
        <v>1</v>
      </c>
      <c r="C9">
        <v>0</v>
      </c>
      <c r="D9">
        <v>0</v>
      </c>
      <c r="E9">
        <v>1</v>
      </c>
    </row>
    <row r="10" spans="1:7" x14ac:dyDescent="0.3">
      <c r="A10" t="s">
        <v>53</v>
      </c>
      <c r="B10">
        <v>0</v>
      </c>
      <c r="C10">
        <v>0</v>
      </c>
      <c r="D10">
        <v>0</v>
      </c>
      <c r="E10">
        <v>0</v>
      </c>
    </row>
    <row r="11" spans="1:7" x14ac:dyDescent="0.3">
      <c r="A11" t="s">
        <v>54</v>
      </c>
      <c r="B11">
        <v>4</v>
      </c>
      <c r="C11">
        <v>0</v>
      </c>
      <c r="D11">
        <v>1</v>
      </c>
      <c r="E11">
        <v>5</v>
      </c>
    </row>
    <row r="12" spans="1:7" x14ac:dyDescent="0.3">
      <c r="A12" t="s">
        <v>55</v>
      </c>
      <c r="B12">
        <v>8</v>
      </c>
      <c r="C12">
        <v>1</v>
      </c>
      <c r="D12">
        <v>2</v>
      </c>
      <c r="E12">
        <v>11</v>
      </c>
    </row>
    <row r="13" spans="1:7" x14ac:dyDescent="0.3">
      <c r="A13" t="s">
        <v>56</v>
      </c>
      <c r="B13">
        <v>5</v>
      </c>
      <c r="C13">
        <v>3</v>
      </c>
      <c r="D13">
        <v>2</v>
      </c>
      <c r="E13">
        <v>10</v>
      </c>
    </row>
    <row r="14" spans="1:7" x14ac:dyDescent="0.3">
      <c r="A14" t="s">
        <v>27</v>
      </c>
      <c r="B14">
        <v>0</v>
      </c>
      <c r="C14">
        <v>0</v>
      </c>
      <c r="D14">
        <v>0</v>
      </c>
      <c r="E14">
        <v>0</v>
      </c>
    </row>
    <row r="15" spans="1:7" x14ac:dyDescent="0.3">
      <c r="A15" t="s">
        <v>2</v>
      </c>
      <c r="B15">
        <f>SUBTOTAL(109,Tabla15[Favorable])</f>
        <v>129</v>
      </c>
      <c r="C15">
        <f>SUBTOTAL(109,Tabla15[Desfavorable])</f>
        <v>19</v>
      </c>
      <c r="D15">
        <f>SUBTOTAL(109,Tabla15[Archivado])</f>
        <v>29</v>
      </c>
      <c r="E15">
        <f>SUBTOTAL(109,Tabla15[Total])</f>
        <v>177</v>
      </c>
    </row>
  </sheetData>
  <hyperlinks>
    <hyperlink ref="G1" location="ÍNDICE!A1" display="ir a índice" xr:uid="{50801830-2A67-4A4F-9987-AE2D1FDC4244}"/>
  </hyperlink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37</vt:i4>
      </vt:variant>
    </vt:vector>
  </HeadingPairs>
  <TitlesOfParts>
    <vt:vector size="63" baseType="lpstr">
      <vt:lpstr>ÍNDICE</vt:lpstr>
      <vt:lpstr>Tabla 2.1-1</vt:lpstr>
      <vt:lpstr>Tabla 2.1-2</vt:lpstr>
      <vt:lpstr>Tabla 2.1-3</vt:lpstr>
      <vt:lpstr>Figura 2.2-1</vt:lpstr>
      <vt:lpstr>Tabla 2.2-1</vt:lpstr>
      <vt:lpstr>Tabla 2.2-2</vt:lpstr>
      <vt:lpstr>Tabla 2.2-3</vt:lpstr>
      <vt:lpstr>Tabla 2.2-4</vt:lpstr>
      <vt:lpstr>Tabla 2.2-5</vt:lpstr>
      <vt:lpstr>Tabla 2.2-6</vt:lpstr>
      <vt:lpstr>Tabla 2.2-7</vt:lpstr>
      <vt:lpstr>Tabla 2.2-8</vt:lpstr>
      <vt:lpstr>Tabla 2.2-9</vt:lpstr>
      <vt:lpstr>Tabla 2.2-10</vt:lpstr>
      <vt:lpstr>Tabla 2.2-11</vt:lpstr>
      <vt:lpstr>Tabla 2.2-12</vt:lpstr>
      <vt:lpstr>Tabla 2.3-1</vt:lpstr>
      <vt:lpstr>Tabla 2.4-1</vt:lpstr>
      <vt:lpstr>Tabla 2.5-1</vt:lpstr>
      <vt:lpstr>Figura 2.5-1</vt:lpstr>
      <vt:lpstr>Tabla 2.6-1</vt:lpstr>
      <vt:lpstr>Tabla 2.6-2</vt:lpstr>
      <vt:lpstr>Tabla 2.6-3</vt:lpstr>
      <vt:lpstr>Tabla 2.6-4</vt:lpstr>
      <vt:lpstr>Tabla 2.7-1</vt:lpstr>
      <vt:lpstr>'Tabla 2.1-2'!_Ref182916053</vt:lpstr>
      <vt:lpstr>'Figura 2.2-1'!_Ref182917372</vt:lpstr>
      <vt:lpstr>'Tabla 2.1-3'!_Ref182917372</vt:lpstr>
      <vt:lpstr>'Tabla 2.2-1'!_Ref182917372</vt:lpstr>
      <vt:lpstr>'Tabla 2.3-1'!_Ref210312437</vt:lpstr>
      <vt:lpstr>'Tabla 2.7-1'!_Ref214627527</vt:lpstr>
      <vt:lpstr>'Tabla 2.1-1'!_Toc216182624</vt:lpstr>
      <vt:lpstr>'Tabla 2.1-1'!_Toc216182688</vt:lpstr>
      <vt:lpstr>'Tabla 2.1-2'!_Toc216182689</vt:lpstr>
      <vt:lpstr>'Figura 2.2-1'!_Toc216182690</vt:lpstr>
      <vt:lpstr>'Tabla 2.1-3'!_Toc216182690</vt:lpstr>
      <vt:lpstr>'Tabla 2.2-1'!_Toc216182690</vt:lpstr>
      <vt:lpstr>'Tabla 2.2-1'!_Toc216182691</vt:lpstr>
      <vt:lpstr>'Tabla 2.2-2'!_Toc216182692</vt:lpstr>
      <vt:lpstr>'Tabla 2.2-3'!_Toc216182693</vt:lpstr>
      <vt:lpstr>'Tabla 2.2-4'!_Toc216182694</vt:lpstr>
      <vt:lpstr>'Tabla 2.2-5'!_Toc216182695</vt:lpstr>
      <vt:lpstr>'Tabla 2.2-6'!_Toc216182696</vt:lpstr>
      <vt:lpstr>'Tabla 2.2-7'!_Toc216182697</vt:lpstr>
      <vt:lpstr>'Tabla 2.2-8'!_Toc216182698</vt:lpstr>
      <vt:lpstr>'Tabla 2.2-9'!_Toc216182699</vt:lpstr>
      <vt:lpstr>'Tabla 2.2-10'!_Toc216182700</vt:lpstr>
      <vt:lpstr>'Tabla 2.2-11'!_Toc216182701</vt:lpstr>
      <vt:lpstr>'Tabla 2.2-12'!_Toc216182702</vt:lpstr>
      <vt:lpstr>'Tabla 2.4-1'!_Toc216182704</vt:lpstr>
      <vt:lpstr>'Tabla 2.5-1'!_Toc216182705</vt:lpstr>
      <vt:lpstr>'Tabla 2.6-1'!_Toc216182706</vt:lpstr>
      <vt:lpstr>'Tabla 2.6-2'!_Toc216182707</vt:lpstr>
      <vt:lpstr>'Tabla 2.6-3'!_Toc216182708</vt:lpstr>
      <vt:lpstr>'Tabla 2.6-4'!_Toc216182709</vt:lpstr>
      <vt:lpstr>'Tabla 2.1-1'!_Toc216182716</vt:lpstr>
      <vt:lpstr>_Toc216182717</vt:lpstr>
      <vt:lpstr>'Figura 2.2-1'!_Toc216182718</vt:lpstr>
      <vt:lpstr>'Tabla 2.1-3'!_Toc216182718</vt:lpstr>
      <vt:lpstr>'Tabla 2.2-1'!_Toc216182718</vt:lpstr>
      <vt:lpstr>'Figura 2.2-1'!_Toc219467319</vt:lpstr>
      <vt:lpstr>'Figura 2.5-1'!_Toc219467320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2026-02-04T16:05:32Z</dcterms:created>
  <dcterms:modified xsi:type="dcterms:W3CDTF">2026-02-04T16:05:40Z</dcterms:modified>
  <cp:category/>
  <cp:contentStatus/>
</cp:coreProperties>
</file>