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3.xml" ContentType="application/vnd.openxmlformats-officedocument.drawing+xml"/>
  <Override PartName="/xl/tables/table15.xml" ContentType="application/vnd.openxmlformats-officedocument.spreadsheetml.tab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16.xml" ContentType="application/vnd.openxmlformats-officedocument.spreadsheetml.tab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tables/table18.xml" ContentType="application/vnd.openxmlformats-officedocument.spreadsheetml.tab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9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5127EAE-10F5-4ABB-B334-EAE0AFAA0104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ÍNDICE" sheetId="4" r:id="rId1"/>
    <sheet name="Tabla 1.8-1" sheetId="1" r:id="rId2"/>
    <sheet name="Figura 1.8-1" sheetId="2" r:id="rId3"/>
    <sheet name="Tabla 1.8-2" sheetId="3" r:id="rId4"/>
    <sheet name="Figura 1.8-3" sheetId="5" r:id="rId5"/>
    <sheet name="Tabla 1.8-3" sheetId="6" r:id="rId6"/>
    <sheet name="Tabla 1.8-4" sheetId="7" r:id="rId7"/>
    <sheet name="Tabla 1.8-5" sheetId="8" r:id="rId8"/>
    <sheet name="Tabla 1.8-6" sheetId="9" r:id="rId9"/>
    <sheet name="Tabla 1.8-7" sheetId="10" r:id="rId10"/>
    <sheet name="Tabla 1.8-8" sheetId="11" r:id="rId11"/>
    <sheet name="Tabla 1.8-9" sheetId="12" r:id="rId12"/>
    <sheet name="Tabla 1.8-10" sheetId="13" r:id="rId13"/>
    <sheet name="Tabla 1.8-11" sheetId="14" r:id="rId14"/>
    <sheet name="Figura 1.8-7" sheetId="15" r:id="rId15"/>
    <sheet name="Figura 1.8-8" sheetId="16" r:id="rId16"/>
    <sheet name="Figura 1.8-9" sheetId="17" r:id="rId17"/>
    <sheet name="Figura 1.8-10" sheetId="18" r:id="rId18"/>
    <sheet name="Figura 1.8-11" sheetId="22" r:id="rId19"/>
    <sheet name="Tabla 1.8-12" sheetId="19" r:id="rId20"/>
    <sheet name="Tabla 1.8-13" sheetId="20" r:id="rId21"/>
    <sheet name="Figura 1.8-12" sheetId="23" r:id="rId22"/>
    <sheet name="Tabla 1.8-14" sheetId="24" r:id="rId23"/>
    <sheet name="Tabla 1.8-15" sheetId="25" r:id="rId24"/>
  </sheets>
  <definedNames>
    <definedName name="_Ref213146757" localSheetId="1">'Tabla 1.8-1'!$A$1</definedName>
    <definedName name="_Ref213854375" localSheetId="5">'Tabla 1.8-3'!$A$1</definedName>
    <definedName name="_Ref213854391" localSheetId="6">'Tabla 1.8-4'!$A$1</definedName>
    <definedName name="_Toc216182424" localSheetId="4">'Figura 1.8-3'!$A$1</definedName>
    <definedName name="_Toc216182428" localSheetId="14">'Figura 1.8-7'!$A$1</definedName>
    <definedName name="_Toc216182429" localSheetId="15">'Figura 1.8-8'!$A$1</definedName>
    <definedName name="_Toc216182430" localSheetId="16">'Figura 1.8-9'!$A$1</definedName>
    <definedName name="_Toc216182431" localSheetId="17">'Figura 1.8-10'!$A$1</definedName>
    <definedName name="_Toc216182432" localSheetId="18">'Figura 1.8-11'!$A$1</definedName>
    <definedName name="_Toc216182433" localSheetId="21">'Figura 1.8-12'!$A$1</definedName>
    <definedName name="_Toc216182633" localSheetId="7">'Tabla 1.8-5'!$A$1</definedName>
    <definedName name="_Toc216182634" localSheetId="8">'Tabla 1.8-6'!$A$1</definedName>
    <definedName name="_Toc216182635" localSheetId="9">'Tabla 1.8-7'!$A$1</definedName>
    <definedName name="_Toc216182636" localSheetId="10">'Tabla 1.8-8'!$A$1</definedName>
    <definedName name="_Toc216182637" localSheetId="11">'Tabla 1.8-9'!$A$1</definedName>
    <definedName name="_Toc216182638" localSheetId="12">'Tabla 1.8-10'!$A$1</definedName>
    <definedName name="_Toc216182639" localSheetId="13">'Tabla 1.8-11'!$A$1</definedName>
    <definedName name="_Toc216182640" localSheetId="19">'Tabla 1.8-12'!$A$1</definedName>
    <definedName name="_Toc216182641" localSheetId="20">'Tabla 1.8-13'!$A$1</definedName>
    <definedName name="_Toc216182642" localSheetId="22">'Tabla 1.8-14'!$A$1</definedName>
    <definedName name="_Toc216182643" localSheetId="23">'Tabla 1.8-15'!$A$1</definedName>
    <definedName name="provincia">#REF!</definedName>
    <definedName name="provincia_2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 l="1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C5" i="25"/>
  <c r="C6" i="25"/>
  <c r="C7" i="25"/>
  <c r="C8" i="25"/>
  <c r="C9" i="25"/>
  <c r="C4" i="25"/>
  <c r="B10" i="25"/>
  <c r="C10" i="25"/>
  <c r="C5" i="24"/>
  <c r="C6" i="24"/>
  <c r="C7" i="24"/>
  <c r="C8" i="24"/>
  <c r="C9" i="24"/>
  <c r="C4" i="24"/>
  <c r="B10" i="24"/>
  <c r="C20" i="23"/>
  <c r="B12" i="23"/>
  <c r="C6" i="23" s="1"/>
  <c r="C7" i="20"/>
  <c r="D7" i="20"/>
  <c r="B7" i="18"/>
  <c r="C10" i="24" l="1"/>
  <c r="C22" i="23"/>
  <c r="C21" i="23"/>
  <c r="C19" i="23"/>
  <c r="C18" i="23"/>
  <c r="C17" i="23"/>
  <c r="C14" i="23"/>
  <c r="C16" i="23"/>
  <c r="C23" i="23"/>
  <c r="C15" i="23"/>
  <c r="C9" i="23"/>
  <c r="C5" i="23"/>
  <c r="C11" i="23"/>
  <c r="C8" i="23"/>
  <c r="C4" i="23"/>
  <c r="C10" i="23"/>
  <c r="C7" i="23"/>
  <c r="C12" i="23" l="1"/>
  <c r="C10" i="17" l="1"/>
  <c r="C7" i="16"/>
  <c r="B12" i="15"/>
  <c r="C12" i="15"/>
  <c r="C14" i="14" l="1"/>
  <c r="E14" i="14"/>
  <c r="F14" i="14"/>
  <c r="G14" i="14"/>
  <c r="H14" i="14"/>
  <c r="I14" i="14"/>
  <c r="C20" i="13"/>
  <c r="D20" i="13"/>
  <c r="E20" i="13"/>
  <c r="D5" i="12"/>
  <c r="D26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4" i="12"/>
  <c r="C26" i="12"/>
  <c r="C11" i="11"/>
  <c r="C14" i="10"/>
  <c r="C20" i="9"/>
  <c r="C12" i="8"/>
  <c r="C5" i="7"/>
  <c r="C6" i="7"/>
  <c r="C7" i="7"/>
  <c r="C8" i="7"/>
  <c r="C9" i="7"/>
  <c r="C10" i="7"/>
  <c r="C11" i="7"/>
  <c r="C12" i="7"/>
  <c r="C13" i="7"/>
  <c r="C14" i="7"/>
  <c r="C15" i="7"/>
  <c r="C16" i="7"/>
  <c r="C4" i="7"/>
  <c r="B17" i="7"/>
  <c r="C17" i="7"/>
  <c r="C5" i="6"/>
  <c r="C11" i="6" s="1"/>
  <c r="C6" i="6"/>
  <c r="C7" i="6"/>
  <c r="C8" i="6"/>
  <c r="C9" i="6"/>
  <c r="C10" i="6"/>
  <c r="C4" i="6"/>
  <c r="B11" i="6"/>
  <c r="C10" i="5"/>
  <c r="C5" i="5"/>
  <c r="C6" i="5"/>
  <c r="C7" i="5"/>
  <c r="C8" i="5"/>
  <c r="C9" i="5"/>
  <c r="C4" i="5"/>
  <c r="B10" i="5"/>
  <c r="B7" i="3"/>
  <c r="C7" i="3"/>
  <c r="I15" i="2"/>
  <c r="J15" i="2"/>
  <c r="K15" i="2"/>
  <c r="C7" i="2"/>
  <c r="I14" i="2" s="1"/>
  <c r="D7" i="2"/>
  <c r="E7" i="2"/>
  <c r="J12" i="2" s="1"/>
  <c r="F7" i="2"/>
  <c r="G7" i="2"/>
  <c r="K14" i="2" s="1"/>
  <c r="H7" i="2"/>
  <c r="I7" i="2"/>
  <c r="L14" i="2" s="1"/>
  <c r="J7" i="2"/>
  <c r="B9" i="1"/>
  <c r="C9" i="1"/>
  <c r="D9" i="1"/>
  <c r="E9" i="1"/>
  <c r="F9" i="1"/>
  <c r="G9" i="1"/>
  <c r="I8" i="1"/>
  <c r="H8" i="1"/>
  <c r="I7" i="1"/>
  <c r="I9" i="1" s="1"/>
  <c r="H7" i="1"/>
  <c r="H9" i="1" s="1"/>
  <c r="I6" i="1"/>
  <c r="I5" i="1"/>
  <c r="I4" i="1"/>
  <c r="K12" i="2" l="1"/>
  <c r="J13" i="2"/>
  <c r="J14" i="2"/>
  <c r="K13" i="2"/>
  <c r="I12" i="2"/>
  <c r="I13" i="2"/>
  <c r="L12" i="2"/>
  <c r="L15" i="2" s="1"/>
  <c r="L13" i="2"/>
  <c r="J5" i="1"/>
  <c r="J7" i="1"/>
  <c r="J4" i="1"/>
  <c r="J8" i="1"/>
  <c r="J6" i="1"/>
  <c r="J9" i="1" l="1"/>
</calcChain>
</file>

<file path=xl/sharedStrings.xml><?xml version="1.0" encoding="utf-8"?>
<sst xmlns="http://schemas.openxmlformats.org/spreadsheetml/2006/main" count="527" uniqueCount="322">
  <si>
    <t>Tipo Terrenos cinegéticos</t>
  </si>
  <si>
    <t>Nº Huesca</t>
  </si>
  <si>
    <t xml:space="preserve">Superficie (ha) Huesca </t>
  </si>
  <si>
    <t>Nº Teruel</t>
  </si>
  <si>
    <t>Superficie (ha) Teruel</t>
  </si>
  <si>
    <t>Nº Zaragoza</t>
  </si>
  <si>
    <t>Superficie (ha) Zaragoza</t>
  </si>
  <si>
    <t>Nº Aragón</t>
  </si>
  <si>
    <t>Superficie (ha) Aragón</t>
  </si>
  <si>
    <t>Cotos deportivos y municipales no administrados por la DGA</t>
  </si>
  <si>
    <t>Cotos privados no administrados por la DGA</t>
  </si>
  <si>
    <t>Cotos intensivos de caza menor no administrados por la DGA</t>
  </si>
  <si>
    <t>Reservas de caza administrados por la DGA</t>
  </si>
  <si>
    <t>Cotos sociales administrados por la DGA</t>
  </si>
  <si>
    <t>Total</t>
  </si>
  <si>
    <t>% superficie cinegética Aragón</t>
  </si>
  <si>
    <t>Fuente: Dirección General de Medio Natural y Gestión Forestal</t>
  </si>
  <si>
    <t>Huesca</t>
  </si>
  <si>
    <t>Teruel</t>
  </si>
  <si>
    <t>Zaragoza</t>
  </si>
  <si>
    <t>Aragón</t>
  </si>
  <si>
    <t>Porcentaje</t>
  </si>
  <si>
    <t>Tipo de terreno cinegético</t>
  </si>
  <si>
    <t>Número</t>
  </si>
  <si>
    <t>Superficie (ha)</t>
  </si>
  <si>
    <t>Acotados</t>
  </si>
  <si>
    <t>Cotos deportivos y municipales</t>
  </si>
  <si>
    <t>Cotos privados</t>
  </si>
  <si>
    <t>Cotos intensivos de caza menor</t>
  </si>
  <si>
    <t>Figura  1.8‑1: Distribución por provincias de los terrenos cinegéticos no administrados por el Gobierno de Aragón en la temporada 2021-2022.</t>
  </si>
  <si>
    <t>Tipo licencia</t>
  </si>
  <si>
    <t>Importe</t>
  </si>
  <si>
    <t>A1: LICENCIA DE CAZA AUTONÓMICA: Pagadas</t>
  </si>
  <si>
    <t>A1: LICENCIA DE CAZA AUTONÓMICA: Gratuitas en vigor</t>
  </si>
  <si>
    <t>A3: LICENCIA DE CAZA INTERAUTONÓMICA: Pagadas</t>
  </si>
  <si>
    <t>Tabla 1.8‑2: Número de licencias de caza por tipo. Año 2022</t>
  </si>
  <si>
    <t xml:space="preserve">Fuente: Instituto Aragonés de Gestión Ambiental </t>
  </si>
  <si>
    <t>Tabla 1.8‑1: Distribución de los terrenos cinegéticos en Aragón 2022</t>
  </si>
  <si>
    <t>Fuente: Dirección General de Calidad y Seguridad Alimentaria e Instituto Aragonés de Gestión Ambiental (INAGA). Datos actualizados a enero de 2023.</t>
  </si>
  <si>
    <t>Columna1</t>
  </si>
  <si>
    <t>Columna2</t>
  </si>
  <si>
    <t>Columna3</t>
  </si>
  <si>
    <t>Tipo de coto</t>
  </si>
  <si>
    <t>Número en Huesca</t>
  </si>
  <si>
    <t>Superficie Huesca (ha)</t>
  </si>
  <si>
    <t>Número Teruel</t>
  </si>
  <si>
    <t>Superficie Teruel (ha)</t>
  </si>
  <si>
    <t>Número Zaragoza</t>
  </si>
  <si>
    <t>Superficie Zaragoza (ha)</t>
  </si>
  <si>
    <t>Número Aragón</t>
  </si>
  <si>
    <t>Superficie Aragón (ha)</t>
  </si>
  <si>
    <t>Fuente: Instituto Aragonés de Gestión Ambiental (INAGA)</t>
  </si>
  <si>
    <t xml:space="preserve">Figura  1.8‑3: Origen de los cazadores con licencia autonómica de Aragón proveniente de otra CCAA en 2022. </t>
  </si>
  <si>
    <t>Fuente: Dirección General de Calidad y Seguridad Alimentaria</t>
  </si>
  <si>
    <t xml:space="preserve">CCAA </t>
  </si>
  <si>
    <t>Cataluña</t>
  </si>
  <si>
    <t>C. Valencia</t>
  </si>
  <si>
    <t>Navarra</t>
  </si>
  <si>
    <t>País Vasco</t>
  </si>
  <si>
    <t>C. Madrid</t>
  </si>
  <si>
    <t>Resto</t>
  </si>
  <si>
    <t>%</t>
  </si>
  <si>
    <t>Tabla 1.8‑3: Número de piezas abatidas de caza mayor en terrenos cinegéticos no administrados por el Gobierno de Aragón durante la temporada cinegética 2021-2022</t>
  </si>
  <si>
    <t>Fuente: Instituto Aragonés de Gestión Ambiental (INAGA). Datos obtenidos en septiembre de 2023</t>
  </si>
  <si>
    <t>Especie</t>
  </si>
  <si>
    <t xml:space="preserve">Piezas abatidas </t>
  </si>
  <si>
    <r>
      <t xml:space="preserve">Jabalí </t>
    </r>
    <r>
      <rPr>
        <i/>
        <sz val="10"/>
        <color theme="1"/>
        <rFont val="Segoe UI"/>
        <family val="2"/>
      </rPr>
      <t>(Sus scrofa)</t>
    </r>
  </si>
  <si>
    <r>
      <t xml:space="preserve">Corzo </t>
    </r>
    <r>
      <rPr>
        <i/>
        <sz val="10"/>
        <color theme="1"/>
        <rFont val="Segoe UI"/>
        <family val="2"/>
      </rPr>
      <t>(Capreolus capreolus)</t>
    </r>
  </si>
  <si>
    <r>
      <t xml:space="preserve">Cabra montes </t>
    </r>
    <r>
      <rPr>
        <i/>
        <sz val="10"/>
        <color theme="1"/>
        <rFont val="Segoe UI"/>
        <family val="2"/>
      </rPr>
      <t>(Capra pyrenaica)</t>
    </r>
  </si>
  <si>
    <r>
      <t xml:space="preserve">Ciervo </t>
    </r>
    <r>
      <rPr>
        <i/>
        <sz val="10"/>
        <color theme="1"/>
        <rFont val="Segoe UI"/>
        <family val="2"/>
      </rPr>
      <t>(Cervus elaphus)</t>
    </r>
  </si>
  <si>
    <r>
      <t xml:space="preserve">Sarrio </t>
    </r>
    <r>
      <rPr>
        <i/>
        <sz val="10"/>
        <color theme="1"/>
        <rFont val="Segoe UI"/>
        <family val="2"/>
      </rPr>
      <t>(Rupicapra pyrenaica)</t>
    </r>
  </si>
  <si>
    <r>
      <t>Gamo (</t>
    </r>
    <r>
      <rPr>
        <i/>
        <sz val="10"/>
        <color theme="1"/>
        <rFont val="Segoe UI"/>
        <family val="2"/>
      </rPr>
      <t>Dama dama)</t>
    </r>
  </si>
  <si>
    <r>
      <t>Muflón (</t>
    </r>
    <r>
      <rPr>
        <i/>
        <sz val="10"/>
        <color theme="1"/>
        <rFont val="Segoe UI"/>
        <family val="2"/>
      </rPr>
      <t>Ovis musimon</t>
    </r>
    <r>
      <rPr>
        <sz val="10"/>
        <color theme="1"/>
        <rFont val="Segoe UI"/>
        <family val="2"/>
      </rPr>
      <t>)</t>
    </r>
  </si>
  <si>
    <t>Tabla 1.8‑4: Número de piezas abatidas de caza menor en terrenos cinegéticos no administrados po el Gobierno de Aragón durante la temporada cinegética 2021-2022</t>
  </si>
  <si>
    <r>
      <t xml:space="preserve">Conejo </t>
    </r>
    <r>
      <rPr>
        <i/>
        <sz val="10"/>
        <color theme="1"/>
        <rFont val="Segoe UI"/>
        <family val="2"/>
      </rPr>
      <t>(Oryctolagus cuniculus)</t>
    </r>
  </si>
  <si>
    <t>Zorzal</t>
  </si>
  <si>
    <r>
      <t xml:space="preserve">Codorniz </t>
    </r>
    <r>
      <rPr>
        <i/>
        <sz val="10"/>
        <color theme="1"/>
        <rFont val="Segoe UI"/>
        <family val="2"/>
      </rPr>
      <t>(Coturnix coturnix)</t>
    </r>
  </si>
  <si>
    <t>Palomas</t>
  </si>
  <si>
    <r>
      <t xml:space="preserve">Perdiz roja </t>
    </r>
    <r>
      <rPr>
        <i/>
        <sz val="10"/>
        <color theme="1"/>
        <rFont val="Segoe UI"/>
        <family val="2"/>
      </rPr>
      <t>(Alectoris rufa)</t>
    </r>
  </si>
  <si>
    <t>Liebre</t>
  </si>
  <si>
    <r>
      <t xml:space="preserve">Estorninos </t>
    </r>
    <r>
      <rPr>
        <i/>
        <sz val="10"/>
        <color theme="1"/>
        <rFont val="Segoe UI"/>
        <family val="2"/>
      </rPr>
      <t>(Sturnus vulgaris)</t>
    </r>
  </si>
  <si>
    <t>Córvidos</t>
  </si>
  <si>
    <r>
      <t>Zorro (</t>
    </r>
    <r>
      <rPr>
        <i/>
        <sz val="10"/>
        <color theme="1"/>
        <rFont val="Segoe UI"/>
        <family val="2"/>
      </rPr>
      <t>Vulpes vulpes</t>
    </r>
    <r>
      <rPr>
        <sz val="10"/>
        <color theme="1"/>
        <rFont val="Segoe UI"/>
        <family val="2"/>
      </rPr>
      <t>)</t>
    </r>
  </si>
  <si>
    <r>
      <t xml:space="preserve">Becada </t>
    </r>
    <r>
      <rPr>
        <i/>
        <sz val="10"/>
        <color theme="1"/>
        <rFont val="Segoe UI"/>
        <family val="2"/>
      </rPr>
      <t>(Scolopax rusticola)</t>
    </r>
  </si>
  <si>
    <t>Acuáticas</t>
  </si>
  <si>
    <t>Agachadizas</t>
  </si>
  <si>
    <r>
      <t>Faisán (</t>
    </r>
    <r>
      <rPr>
        <i/>
        <sz val="10"/>
        <color theme="1"/>
        <rFont val="Segoe UI"/>
        <family val="2"/>
      </rPr>
      <t>Phasianus colchicus</t>
    </r>
    <r>
      <rPr>
        <sz val="10"/>
        <color theme="1"/>
        <rFont val="Segoe UI"/>
        <family val="2"/>
      </rPr>
      <t>)</t>
    </r>
  </si>
  <si>
    <t>Provincia</t>
  </si>
  <si>
    <t>Nombre</t>
  </si>
  <si>
    <t>Los Valles</t>
  </si>
  <si>
    <t>Sarrio, corzo, batidas de jabalí y ciervo y caza menor.</t>
  </si>
  <si>
    <t>Viñamala</t>
  </si>
  <si>
    <t>Los Circos</t>
  </si>
  <si>
    <t>Benasque</t>
  </si>
  <si>
    <t>Garcipollera</t>
  </si>
  <si>
    <t>Ciervo, jabalí y becada</t>
  </si>
  <si>
    <t>Montes Universales</t>
  </si>
  <si>
    <r>
      <t>Ciervo</t>
    </r>
    <r>
      <rPr>
        <sz val="10"/>
        <color rgb="FF0070C0"/>
        <rFont val="Segoe UI"/>
        <family val="2"/>
      </rPr>
      <t xml:space="preserve">, </t>
    </r>
    <r>
      <rPr>
        <sz val="10"/>
        <color theme="1"/>
        <rFont val="Segoe UI"/>
        <family val="2"/>
      </rPr>
      <t>cabra montés, corzo, jabalí,</t>
    </r>
    <r>
      <rPr>
        <sz val="10"/>
        <color rgb="FF0070C0"/>
        <rFont val="Segoe UI"/>
        <family val="2"/>
      </rPr>
      <t xml:space="preserve"> </t>
    </r>
    <r>
      <rPr>
        <sz val="10"/>
        <color theme="1"/>
        <rFont val="Segoe UI"/>
        <family val="2"/>
      </rPr>
      <t>caza menor, media veda, zorzal en puesto fijo y becada.</t>
    </r>
  </si>
  <si>
    <t>Masías de Ejulve</t>
  </si>
  <si>
    <t>Cabra montes, corzo, jabalí, caza menor y media veda</t>
  </si>
  <si>
    <t>Beceite (Aragón, Cataluña y C. Valenciana)</t>
  </si>
  <si>
    <t>Cabra montes y jabalí</t>
  </si>
  <si>
    <t>Tabla 1.8‑5: Reservas de caza gestionadas por la administración en Aragón. Temporada 2021-2022</t>
  </si>
  <si>
    <t>Fuente: Dirección General de Calidad y Seguridad Alimentaria. Planes anuales de aprovechamientos cinegéticos para la temporada de caza 2021-2022. Datos actualizados a septiembre de 2023</t>
  </si>
  <si>
    <t>Aprovechamiento (Especies cinegéticas)</t>
  </si>
  <si>
    <t>Tipo de caza</t>
  </si>
  <si>
    <t>Caza mayor</t>
  </si>
  <si>
    <r>
      <t>Gamo (</t>
    </r>
    <r>
      <rPr>
        <i/>
        <sz val="10"/>
        <color theme="1"/>
        <rFont val="Segoe UI"/>
        <family val="2"/>
      </rPr>
      <t>Dama dama</t>
    </r>
    <r>
      <rPr>
        <sz val="10"/>
        <color theme="1"/>
        <rFont val="Segoe UI"/>
        <family val="2"/>
      </rPr>
      <t>)</t>
    </r>
  </si>
  <si>
    <t>Subtotal caza mayor</t>
  </si>
  <si>
    <t>Caza menor</t>
  </si>
  <si>
    <t>Paloma torcaz</t>
  </si>
  <si>
    <t>Perdiz</t>
  </si>
  <si>
    <t>Zorzales</t>
  </si>
  <si>
    <r>
      <t>Zorro (</t>
    </r>
    <r>
      <rPr>
        <i/>
        <sz val="10"/>
        <color theme="1"/>
        <rFont val="Segoe UI"/>
        <family val="2"/>
      </rPr>
      <t>Vulpes vulpes)</t>
    </r>
  </si>
  <si>
    <t>Subtotal caza menor</t>
  </si>
  <si>
    <t>Tabla 1.8‑6: Número de piezas abatidas en las reservas de caza</t>
  </si>
  <si>
    <t>Fuente: Dirección General de Calidad y Seguridad Alimentaria. Datos actualizados a septiembre de 2023.</t>
  </si>
  <si>
    <t>Coto Social de caza</t>
  </si>
  <si>
    <t xml:space="preserve">Aprovechamiento cinegético </t>
  </si>
  <si>
    <t>Rueita y Los Landes</t>
  </si>
  <si>
    <t>Becada y batida de jabalí</t>
  </si>
  <si>
    <t>Alcañicejos-Las Hoyas (Tosos)</t>
  </si>
  <si>
    <t>Batida de jabalí</t>
  </si>
  <si>
    <t>La Solana de Burgasé</t>
  </si>
  <si>
    <t>Becada, corzo y batida de jabalí</t>
  </si>
  <si>
    <t>Nueveciercos</t>
  </si>
  <si>
    <t>Isin y Asún</t>
  </si>
  <si>
    <t>Ainielle</t>
  </si>
  <si>
    <t>Artaso y Sieso</t>
  </si>
  <si>
    <t>La Guarguera</t>
  </si>
  <si>
    <t>Pardina de Fanlo</t>
  </si>
  <si>
    <t>Becada y batida de jabalí.</t>
  </si>
  <si>
    <t>Castelfrío y Mas de Tarín</t>
  </si>
  <si>
    <t xml:space="preserve">Corzo, cabra montés y batida de jabalí </t>
  </si>
  <si>
    <t>Tabla 1.8‑7: Cotos sociales de Aragón. Temporada 2021-2022</t>
  </si>
  <si>
    <t xml:space="preserve">Tipo de caza </t>
  </si>
  <si>
    <t>Caza Mayor</t>
  </si>
  <si>
    <r>
      <t>Cabra montés (</t>
    </r>
    <r>
      <rPr>
        <i/>
        <sz val="10"/>
        <color theme="1"/>
        <rFont val="Segoe UI"/>
        <family val="2"/>
      </rPr>
      <t>Capra pyrenaica</t>
    </r>
    <r>
      <rPr>
        <sz val="10"/>
        <color theme="1"/>
        <rFont val="Segoe UI"/>
        <family val="2"/>
      </rPr>
      <t>)</t>
    </r>
  </si>
  <si>
    <r>
      <t>Corzo (</t>
    </r>
    <r>
      <rPr>
        <i/>
        <sz val="10"/>
        <color theme="1"/>
        <rFont val="Segoe UI"/>
        <family val="2"/>
      </rPr>
      <t>Capreolus capreolus</t>
    </r>
    <r>
      <rPr>
        <sz val="10"/>
        <color theme="1"/>
        <rFont val="Segoe UI"/>
        <family val="2"/>
      </rPr>
      <t>)</t>
    </r>
  </si>
  <si>
    <r>
      <t xml:space="preserve">Liebre </t>
    </r>
    <r>
      <rPr>
        <i/>
        <sz val="10"/>
        <color theme="1"/>
        <rFont val="Segoe UI"/>
        <family val="2"/>
      </rPr>
      <t>(Lepus europaeus)</t>
    </r>
  </si>
  <si>
    <t>Tabla 1.8‑8: Número de piezas abatidas en los cotos sociales de caza. Temporada 2021-2022</t>
  </si>
  <si>
    <t>Tipo de Caza</t>
  </si>
  <si>
    <t>Piezas abatidas caza mayor</t>
  </si>
  <si>
    <t>Porcentaje sobre piezas de caza mayor</t>
  </si>
  <si>
    <r>
      <t>Jabalí (</t>
    </r>
    <r>
      <rPr>
        <i/>
        <sz val="10"/>
        <color theme="1"/>
        <rFont val="Segoe UI"/>
        <family val="2"/>
      </rPr>
      <t>Sus scrofa</t>
    </r>
    <r>
      <rPr>
        <sz val="10"/>
        <color theme="1"/>
        <rFont val="Segoe UI"/>
        <family val="2"/>
      </rPr>
      <t>)</t>
    </r>
  </si>
  <si>
    <r>
      <t>Corzo (</t>
    </r>
    <r>
      <rPr>
        <i/>
        <sz val="10"/>
        <color theme="1"/>
        <rFont val="Segoe UI"/>
        <family val="2"/>
      </rPr>
      <t>Capreolus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>capreolus</t>
    </r>
    <r>
      <rPr>
        <sz val="10"/>
        <color theme="1"/>
        <rFont val="Segoe UI"/>
        <family val="2"/>
      </rPr>
      <t>)</t>
    </r>
  </si>
  <si>
    <r>
      <t>Ciervo (</t>
    </r>
    <r>
      <rPr>
        <i/>
        <sz val="10"/>
        <color theme="1"/>
        <rFont val="Segoe UI"/>
        <family val="2"/>
      </rPr>
      <t>Cervus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>elaphus</t>
    </r>
    <r>
      <rPr>
        <sz val="10"/>
        <color theme="1"/>
        <rFont val="Segoe UI"/>
        <family val="2"/>
      </rPr>
      <t>)</t>
    </r>
  </si>
  <si>
    <r>
      <t>Conejo (</t>
    </r>
    <r>
      <rPr>
        <i/>
        <sz val="10"/>
        <color theme="1"/>
        <rFont val="Segoe UI"/>
        <family val="2"/>
      </rPr>
      <t>Oryctolagus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>cuniculus</t>
    </r>
    <r>
      <rPr>
        <sz val="10"/>
        <color theme="1"/>
        <rFont val="Segoe UI"/>
        <family val="2"/>
      </rPr>
      <t>)</t>
    </r>
  </si>
  <si>
    <r>
      <t>Codorniz (</t>
    </r>
    <r>
      <rPr>
        <i/>
        <sz val="10"/>
        <color theme="1"/>
        <rFont val="Segoe UI"/>
        <family val="2"/>
      </rPr>
      <t>Coturnix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>coturnix</t>
    </r>
    <r>
      <rPr>
        <sz val="10"/>
        <color theme="1"/>
        <rFont val="Segoe UI"/>
        <family val="2"/>
      </rPr>
      <t>)</t>
    </r>
  </si>
  <si>
    <r>
      <t>Perdiz roja (</t>
    </r>
    <r>
      <rPr>
        <i/>
        <sz val="10"/>
        <color theme="1"/>
        <rFont val="Segoe UI"/>
        <family val="2"/>
      </rPr>
      <t>Alectoris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>rufa</t>
    </r>
    <r>
      <rPr>
        <sz val="10"/>
        <color theme="1"/>
        <rFont val="Segoe UI"/>
        <family val="2"/>
      </rPr>
      <t>)</t>
    </r>
  </si>
  <si>
    <r>
      <t>Estorninos (</t>
    </r>
    <r>
      <rPr>
        <i/>
        <sz val="10"/>
        <color theme="1"/>
        <rFont val="Segoe UI"/>
        <family val="2"/>
      </rPr>
      <t>Sturnus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>vulgaris</t>
    </r>
    <r>
      <rPr>
        <sz val="10"/>
        <color theme="1"/>
        <rFont val="Segoe UI"/>
        <family val="2"/>
      </rPr>
      <t>)</t>
    </r>
  </si>
  <si>
    <t>Urraca</t>
  </si>
  <si>
    <r>
      <t>Zorro (</t>
    </r>
    <r>
      <rPr>
        <i/>
        <sz val="10"/>
        <color theme="1"/>
        <rFont val="Segoe UI"/>
        <family val="2"/>
      </rPr>
      <t>Vulpes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>vulpes</t>
    </r>
    <r>
      <rPr>
        <sz val="10"/>
        <color theme="1"/>
        <rFont val="Segoe UI"/>
        <family val="2"/>
      </rPr>
      <t>)</t>
    </r>
  </si>
  <si>
    <r>
      <t>Becada (</t>
    </r>
    <r>
      <rPr>
        <i/>
        <sz val="10"/>
        <color theme="1"/>
        <rFont val="Segoe UI"/>
        <family val="2"/>
      </rPr>
      <t>Scolopax</t>
    </r>
    <r>
      <rPr>
        <sz val="10"/>
        <color theme="1"/>
        <rFont val="Segoe UI"/>
        <family val="2"/>
      </rPr>
      <t xml:space="preserve"> </t>
    </r>
    <r>
      <rPr>
        <i/>
        <sz val="10"/>
        <color theme="1"/>
        <rFont val="Segoe UI"/>
        <family val="2"/>
      </rPr>
      <t>rusticola</t>
    </r>
    <r>
      <rPr>
        <sz val="10"/>
        <color theme="1"/>
        <rFont val="Segoe UI"/>
        <family val="2"/>
      </rPr>
      <t>)</t>
    </r>
  </si>
  <si>
    <t>Antropófilas</t>
  </si>
  <si>
    <t>Tabla 1.8‑9: Número de piezas abatidas en la totalidad de los terrenos cinegéticos de Aragón. 2021-2022</t>
  </si>
  <si>
    <t>Fuente: DG de Calidad y Seguridad Alimentaria e INAGA. Datos actualizados a septiembre de 2023</t>
  </si>
  <si>
    <t>Cazados</t>
  </si>
  <si>
    <t>Enfermos / Muertos</t>
  </si>
  <si>
    <t>Totales</t>
  </si>
  <si>
    <t>Jabalí</t>
  </si>
  <si>
    <t>Ciervo</t>
  </si>
  <si>
    <t>Sarrio</t>
  </si>
  <si>
    <t>Corzo</t>
  </si>
  <si>
    <t>Cabra montés</t>
  </si>
  <si>
    <t>Gamo</t>
  </si>
  <si>
    <t>Zorro</t>
  </si>
  <si>
    <t>Liebre ibérica</t>
  </si>
  <si>
    <t>Liebre europea</t>
  </si>
  <si>
    <t>Conejo silvestre</t>
  </si>
  <si>
    <t>Becada</t>
  </si>
  <si>
    <t>Perdiz roja</t>
  </si>
  <si>
    <t>Codorniz</t>
  </si>
  <si>
    <t>Ánade real</t>
  </si>
  <si>
    <t>Tabla 1.8‑10: Seguimiento sanitario de la fauna cinegética. Año 2022</t>
  </si>
  <si>
    <t>Fuente: Facultad de Veterinaria. Universidad de Zaragoza y Dirección General de Calidad y Seguridad Alimentaria. Actualizando a septiembre de 2023.</t>
  </si>
  <si>
    <t>Clasificación de las aguas</t>
  </si>
  <si>
    <t>Huesca Nº</t>
  </si>
  <si>
    <t>Huesca Km</t>
  </si>
  <si>
    <t>Teruel Nº</t>
  </si>
  <si>
    <t>Teruel Km</t>
  </si>
  <si>
    <t>Zaragoza Nº</t>
  </si>
  <si>
    <t>Zaragoza Km</t>
  </si>
  <si>
    <t>Aragón Nº</t>
  </si>
  <si>
    <t>Aragón Km</t>
  </si>
  <si>
    <t>Vedados de pesca</t>
  </si>
  <si>
    <t>Cotos deportivos de pesca</t>
  </si>
  <si>
    <t>Cotos sociales de captura y suelta</t>
  </si>
  <si>
    <t>Cotos privados de pesca</t>
  </si>
  <si>
    <t>Escenarios para eventos deportivos de pesca (1)</t>
  </si>
  <si>
    <t>Tramos de pesca intensiva (2)</t>
  </si>
  <si>
    <t>Tramos libres de captura y suelta salmonícolas</t>
  </si>
  <si>
    <t>Tramos libres extractivos salmonícolas</t>
  </si>
  <si>
    <t>Tramos libres ciprinícolas</t>
  </si>
  <si>
    <t>Tabla 1.8‑11: Clasificación de las aguas de acuerdo con su aprovechamiento de la pesca en Aragón. Año 2022*</t>
  </si>
  <si>
    <t>* Se ha calculado exclusivamente con los kilómetros de los principales ríos y sus afluentes más significativos, así como los kilómetros de orilla en caso de los embalses.</t>
  </si>
  <si>
    <t>(1) Los "Escenarios para eventos deportivos de pesca" (1.317,87 Km) suelen coincidir con los "Tramos de pesca intensiva" o algunos cotos deportivos de pesca, por lo que el cálculo en la longitud de estos tramos sólo se ha tenido en cuenta una única vez.</t>
  </si>
  <si>
    <t>(2) Tramos de pesca intensiva” no incluidos en los “cotos deportivos de pesca”.</t>
  </si>
  <si>
    <t>Km</t>
  </si>
  <si>
    <t>Tramos de pesca intensiva</t>
  </si>
  <si>
    <t>Tramos libres de captura y suelta ciprinícolas</t>
  </si>
  <si>
    <t>Fuente: Dirección General de Calidad y Seguridad Alimentaria. Datos obtenidos a septiembre de 2023</t>
  </si>
  <si>
    <t>Prohibida la pesca</t>
  </si>
  <si>
    <t>Pesca con extracción</t>
  </si>
  <si>
    <t>Pesca captura y suelta</t>
  </si>
  <si>
    <t xml:space="preserve">nº </t>
  </si>
  <si>
    <t>Figura  1.8‑7: Distribución de las masas de agua según su gestión en Aragón. Año 2022</t>
  </si>
  <si>
    <t>km</t>
  </si>
  <si>
    <t>Figura  1.8‑8: Distribución de las masas de agua en Aragón según modalidad de pesca. Año 2022</t>
  </si>
  <si>
    <t>Clasificación de las aguas salmonícolas</t>
  </si>
  <si>
    <t>Tramos libres extractivos</t>
  </si>
  <si>
    <t>Tramos libres de captura y suelta</t>
  </si>
  <si>
    <t>nº</t>
  </si>
  <si>
    <t>Figura  1.8‑9: Distribución de las masas de agua en Aragón según su gestión en las aguas declaradas habitadas por la trucha. Año 2022.</t>
  </si>
  <si>
    <t>Fuente: Dirección General de Calidad y Seguridad Alimentaria. Datos obtenidos a septiembre de 2023.</t>
  </si>
  <si>
    <t>Clasificación de las aguas Salmonícolas</t>
  </si>
  <si>
    <t>Figura  1.8‑10: Distribución de las masas de agua en Aragón según modalidad de pesca en las aguas declaradas habitadas por la trucha. Año 2022</t>
  </si>
  <si>
    <t>VEDADO</t>
  </si>
  <si>
    <t>CAPTURA Y SUELTA</t>
  </si>
  <si>
    <t>EXTRACCIÓN</t>
  </si>
  <si>
    <t>Figura  1.8‑11: Evolución de la gestión de la pesca en las aguas habilitadas por la trucha (km de río) entro los años 2008-2022</t>
  </si>
  <si>
    <t>Fuente: Dirección General de Calidad y Seguridad Alimentaria.</t>
  </si>
  <si>
    <t>Familia</t>
  </si>
  <si>
    <t>Nombre científico</t>
  </si>
  <si>
    <t>Salmónidos</t>
  </si>
  <si>
    <t>Trucha arco iris*</t>
  </si>
  <si>
    <t>Oncorhynchus mykiss</t>
  </si>
  <si>
    <t>Trucha común</t>
  </si>
  <si>
    <t>Salmo trutta</t>
  </si>
  <si>
    <t>Salvelino*</t>
  </si>
  <si>
    <t>Salvelinus fontinalis</t>
  </si>
  <si>
    <t xml:space="preserve">Ciprínidos </t>
  </si>
  <si>
    <t xml:space="preserve">Barbo de Graells </t>
  </si>
  <si>
    <t>Luciobarbus graellsii</t>
  </si>
  <si>
    <t xml:space="preserve">Gobio </t>
  </si>
  <si>
    <t>Gobio lozanoi</t>
  </si>
  <si>
    <t xml:space="preserve">Piscardo </t>
  </si>
  <si>
    <t>Phoxinus bigerri</t>
  </si>
  <si>
    <t xml:space="preserve">Tenca </t>
  </si>
  <si>
    <t>Tinca tinca</t>
  </si>
  <si>
    <t>Carpa común y var.*</t>
  </si>
  <si>
    <t>Cyprinus carpio</t>
  </si>
  <si>
    <t>Carpines y var.**</t>
  </si>
  <si>
    <t>Carassius auratus</t>
  </si>
  <si>
    <t>Escardino *</t>
  </si>
  <si>
    <t>Scardinius erythrophthalmus</t>
  </si>
  <si>
    <t>Alburno*</t>
  </si>
  <si>
    <t>Alburnus alburnus</t>
  </si>
  <si>
    <t>Rutilo*</t>
  </si>
  <si>
    <t>Rutilus rutilus</t>
  </si>
  <si>
    <t>Otras familias</t>
  </si>
  <si>
    <t>Siluro *</t>
  </si>
  <si>
    <t>Silurus glanis</t>
  </si>
  <si>
    <t>Pez gato *</t>
  </si>
  <si>
    <t>Ameiurus melas</t>
  </si>
  <si>
    <t>Black-bass *</t>
  </si>
  <si>
    <t>Micropterus salmoides</t>
  </si>
  <si>
    <t>Pez Sol *</t>
  </si>
  <si>
    <t>Lepomis gibbosus</t>
  </si>
  <si>
    <t>Lucio*</t>
  </si>
  <si>
    <t>Esox lucius</t>
  </si>
  <si>
    <t>Lucioperca*</t>
  </si>
  <si>
    <t>Sander lucioperca</t>
  </si>
  <si>
    <t>Perca europea*</t>
  </si>
  <si>
    <t>Perca fluviatilis</t>
  </si>
  <si>
    <t>Cangrejos</t>
  </si>
  <si>
    <t>Cangrejo rojo *</t>
  </si>
  <si>
    <t>Procambarus clarkii</t>
  </si>
  <si>
    <t>(*) Especies alóctonas introducidas en nuestros ríos: De acuerdo con las disposiciones contenidas en el plan General de pesca para la temporada 2022, así como lo establecido en el Real Decreto 630/2013, de 2 de agosto, por el que se regula el Catálogo Español de Especies Exóticas Invasoras.</t>
  </si>
  <si>
    <t>(**) Especies alóctonas introducidas en nuestros ríos, no incluidas en el Catálogo Español de Especies Exóticas Invasoras.</t>
  </si>
  <si>
    <t>Tabla 1.8‑12: Especies declaradas en Aragón objeto de pesca en el año 2022</t>
  </si>
  <si>
    <t>Situación</t>
  </si>
  <si>
    <t xml:space="preserve">Número </t>
  </si>
  <si>
    <t>B1: Licencia de pesca autonómica</t>
  </si>
  <si>
    <t>Pagadas</t>
  </si>
  <si>
    <t>Gratuitas en vigor</t>
  </si>
  <si>
    <t>B3: Licencia de pesca interautonómica</t>
  </si>
  <si>
    <t>Tabla 1.8‑13: Número de licencias de pesca por tipo. Año 2022</t>
  </si>
  <si>
    <t>Fuente: Instituto Aragonés de Gestión Ambiental (INAGA). Datos actualizados a septiembre de 2023.</t>
  </si>
  <si>
    <t>CATALUÑA</t>
  </si>
  <si>
    <t>NAVARRA</t>
  </si>
  <si>
    <t>C.VALENCIANA</t>
  </si>
  <si>
    <t>C.MADRID</t>
  </si>
  <si>
    <t>CASTILLA LA MANCHA</t>
  </si>
  <si>
    <t>P.VASCO</t>
  </si>
  <si>
    <t>LA RIOJA</t>
  </si>
  <si>
    <t>RESTO</t>
  </si>
  <si>
    <t>CCAA</t>
  </si>
  <si>
    <t>nº pescadores</t>
  </si>
  <si>
    <t>CASTILLA Y LEÓN</t>
  </si>
  <si>
    <t>ANDALUCÍA</t>
  </si>
  <si>
    <t>MURCIA</t>
  </si>
  <si>
    <t>EXTREMADURA</t>
  </si>
  <si>
    <t>CANTABRIA</t>
  </si>
  <si>
    <t>BALEARES</t>
  </si>
  <si>
    <t>GALICIA</t>
  </si>
  <si>
    <t>ASTURIAS</t>
  </si>
  <si>
    <t>(GRAN) CANARIAS</t>
  </si>
  <si>
    <t>MELILLA</t>
  </si>
  <si>
    <t>Figura  1.8‑12: Origen de los pescadores con licencia autonómica de Aragón procedentes de otras CCAA. Año 2022</t>
  </si>
  <si>
    <t xml:space="preserve">Fuente: Dirección General de Calidad y Seguridad Alimentaria e Instituto Aragonés de Gestión Ambiental (INAGA). </t>
  </si>
  <si>
    <t>Nacionalidad</t>
  </si>
  <si>
    <t>Nº licencias</t>
  </si>
  <si>
    <t>% nº licencias</t>
  </si>
  <si>
    <t>Española</t>
  </si>
  <si>
    <t>Rumana</t>
  </si>
  <si>
    <t>Alemana</t>
  </si>
  <si>
    <t>Francesa</t>
  </si>
  <si>
    <t>Checa</t>
  </si>
  <si>
    <t>Otras (99 nacionalidades)</t>
  </si>
  <si>
    <t>Tabla 1.8‑14: Nacionalidad de los pescadores en Aragón. Año 2022</t>
  </si>
  <si>
    <t>Fuente: Dirección General de Calidad y Seguridad Alimentaria e Instituto Aragonés de Gestión Ambiental (INAGA). Datos actualizados a septiembre de 2023</t>
  </si>
  <si>
    <t>País de Residencia</t>
  </si>
  <si>
    <t>España</t>
  </si>
  <si>
    <t>Alemania</t>
  </si>
  <si>
    <t>Francia</t>
  </si>
  <si>
    <t>República Checa</t>
  </si>
  <si>
    <t>Gran Bretaña</t>
  </si>
  <si>
    <t>Otros (71 países)</t>
  </si>
  <si>
    <t>Tabla 1.8‑15: País de residencia de los pescadores en Aragón. Año 2022</t>
  </si>
  <si>
    <t>Índice</t>
  </si>
  <si>
    <t>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</si>
</sst>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4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8"/>
      <color theme="1"/>
      <name val="Segoe UI"/>
      <family val="2"/>
    </font>
    <font>
      <i/>
      <sz val="9"/>
      <color rgb="FF0E2841"/>
      <name val="Segoe UI"/>
      <family val="2"/>
    </font>
    <font>
      <sz val="11"/>
      <color theme="0"/>
      <name val="Segoe UI"/>
      <family val="2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70C0"/>
      <name val="Segoe UI"/>
      <family val="2"/>
    </font>
    <font>
      <u/>
      <sz val="11"/>
      <color theme="10"/>
      <name val="Segoe UI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8"/>
        <bgColor indexed="54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17"/>
      </patternFill>
    </fill>
    <fill>
      <patternFill patternType="solid">
        <fgColor indexed="27"/>
        <bgColor indexed="31"/>
      </patternFill>
    </fill>
    <fill>
      <patternFill patternType="solid">
        <fgColor rgb="FF00689D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/>
    <xf numFmtId="0" fontId="0" fillId="0" borderId="1" xfId="0" applyBorder="1"/>
    <xf numFmtId="10" fontId="0" fillId="0" borderId="0" xfId="2" applyNumberFormat="1" applyFont="1"/>
    <xf numFmtId="164" fontId="0" fillId="0" borderId="0" xfId="1" applyFont="1"/>
    <xf numFmtId="165" fontId="0" fillId="0" borderId="0" xfId="1" applyNumberFormat="1" applyFont="1"/>
    <xf numFmtId="9" fontId="1" fillId="0" borderId="0" xfId="0" applyNumberFormat="1" applyFont="1"/>
    <xf numFmtId="9" fontId="0" fillId="0" borderId="0" xfId="0" applyNumberFormat="1"/>
    <xf numFmtId="165" fontId="3" fillId="0" borderId="0" xfId="1" applyNumberFormat="1" applyFont="1" applyAlignment="1">
      <alignment vertical="center"/>
    </xf>
    <xf numFmtId="165" fontId="2" fillId="0" borderId="0" xfId="1" applyNumberFormat="1" applyFont="1" applyAlignment="1">
      <alignment wrapText="1"/>
    </xf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10" fontId="1" fillId="0" borderId="0" xfId="2" applyNumberFormat="1" applyFont="1"/>
    <xf numFmtId="165" fontId="1" fillId="0" borderId="0" xfId="0" applyNumberFormat="1" applyFont="1"/>
    <xf numFmtId="10" fontId="0" fillId="0" borderId="0" xfId="0" applyNumberFormat="1"/>
    <xf numFmtId="10" fontId="1" fillId="0" borderId="0" xfId="0" applyNumberFormat="1" applyFont="1"/>
    <xf numFmtId="0" fontId="9" fillId="3" borderId="0" xfId="4" applyFill="1"/>
    <xf numFmtId="0" fontId="3" fillId="0" borderId="0" xfId="4" applyFont="1" applyAlignment="1">
      <alignment vertical="center"/>
    </xf>
    <xf numFmtId="0" fontId="11" fillId="3" borderId="0" xfId="4" applyFont="1" applyFill="1"/>
    <xf numFmtId="4" fontId="12" fillId="3" borderId="0" xfId="4" applyNumberFormat="1" applyFont="1" applyFill="1"/>
    <xf numFmtId="0" fontId="12" fillId="3" borderId="0" xfId="4" applyFont="1" applyFill="1"/>
    <xf numFmtId="166" fontId="12" fillId="3" borderId="0" xfId="4" applyNumberFormat="1" applyFont="1" applyFill="1" applyAlignment="1">
      <alignment horizontal="center"/>
    </xf>
    <xf numFmtId="166" fontId="12" fillId="3" borderId="0" xfId="4" applyNumberFormat="1" applyFont="1" applyFill="1"/>
    <xf numFmtId="4" fontId="12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10" fillId="2" borderId="2" xfId="4" applyFont="1" applyFill="1" applyBorder="1" applyAlignment="1">
      <alignment horizontal="center" wrapText="1"/>
    </xf>
    <xf numFmtId="0" fontId="10" fillId="2" borderId="3" xfId="4" applyFont="1" applyFill="1" applyBorder="1" applyAlignment="1">
      <alignment horizontal="center" wrapText="1"/>
    </xf>
    <xf numFmtId="0" fontId="10" fillId="2" borderId="4" xfId="4" applyFont="1" applyFill="1" applyBorder="1" applyAlignment="1">
      <alignment horizontal="center" wrapText="1"/>
    </xf>
    <xf numFmtId="0" fontId="4" fillId="7" borderId="0" xfId="0" applyFont="1" applyFill="1"/>
    <xf numFmtId="0" fontId="8" fillId="0" borderId="0" xfId="3"/>
    <xf numFmtId="0" fontId="0" fillId="0" borderId="0" xfId="0" applyAlignment="1">
      <alignment horizontal="center"/>
    </xf>
    <xf numFmtId="0" fontId="9" fillId="6" borderId="7" xfId="4" applyFill="1" applyBorder="1" applyAlignment="1">
      <alignment horizontal="center"/>
    </xf>
    <xf numFmtId="0" fontId="9" fillId="6" borderId="2" xfId="4" applyFill="1" applyBorder="1" applyAlignment="1">
      <alignment horizontal="center"/>
    </xf>
    <xf numFmtId="0" fontId="9" fillId="6" borderId="6" xfId="4" applyFill="1" applyBorder="1" applyAlignment="1">
      <alignment horizontal="center"/>
    </xf>
    <xf numFmtId="0" fontId="9" fillId="5" borderId="5" xfId="4" applyFill="1" applyBorder="1" applyAlignment="1">
      <alignment horizontal="center"/>
    </xf>
    <xf numFmtId="0" fontId="9" fillId="5" borderId="0" xfId="4" applyFill="1" applyAlignment="1">
      <alignment horizontal="center"/>
    </xf>
    <xf numFmtId="0" fontId="13" fillId="4" borderId="0" xfId="4" applyFont="1" applyFill="1" applyAlignment="1">
      <alignment horizontal="center"/>
    </xf>
  </cellXfs>
  <cellStyles count="5">
    <cellStyle name="Hipervínculo" xfId="3" builtinId="8"/>
    <cellStyle name="Millares" xfId="1" builtinId="3"/>
    <cellStyle name="Normal" xfId="0" builtinId="0"/>
    <cellStyle name="Normal 2" xfId="4" xr:uid="{FB5E481C-149A-4EF7-BBD6-47A4C491F4BB}"/>
    <cellStyle name="Porcentaje" xfId="2" builtinId="5"/>
  </cellStyles>
  <dxfs count="100">
    <dxf>
      <numFmt numFmtId="165" formatCode="_(* #,##0_);_(* \(#,##0\);_(* &quot;-&quot;??_);_(@_)"/>
    </dxf>
    <dxf>
      <numFmt numFmtId="14" formatCode="0.00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_(* #,##0_);_(* \(#,##0\);_(* &quot;-&quot;??_);_(@_)"/>
    </dxf>
    <dxf>
      <numFmt numFmtId="164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0" formatCode="General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4" formatCode="0.00%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numFmt numFmtId="165" formatCode="_(* #,##0_);_(* \(#,##0\);_(* &quot;-&quot;??_);_(@_)"/>
    </dxf>
    <dxf>
      <numFmt numFmtId="14" formatCode="0.00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ill>
        <patternFill>
          <bgColor theme="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horizontal style="thin">
          <color theme="0" tint="-0.499984740745262"/>
        </horizontal>
      </border>
    </dxf>
    <dxf>
      <font>
        <color theme="0"/>
      </font>
      <fill>
        <patternFill>
          <bgColor theme="0" tint="-0.499984740745262"/>
        </patternFill>
      </fill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2" xr9:uid="{00000000-0011-0000-FFFF-FFFF00000000}">
      <tableStyleElement type="wholeTable" dxfId="99"/>
      <tableStyleElement type="headerRow" dxfId="98"/>
    </tableStyle>
    <tableStyle name="Estilo de tabla 2" pivot="0" count="2" xr9:uid="{B5B4D505-0D87-4629-A188-7BB2E8B2DEA9}">
      <tableStyleElement type="wholeTable" dxfId="97"/>
      <tableStyleElement type="headerRow" dxfId="96"/>
    </tableStyle>
  </tableStyles>
  <colors>
    <mruColors>
      <color rgb="FF0068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74519300158763"/>
          <c:y val="7.1457617093637946E-2"/>
          <c:w val="0.80509804065110269"/>
          <c:h val="0.763558231691626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'Figura 1.8-1'!$B$4</c:f>
              <c:strCache>
                <c:ptCount val="1"/>
                <c:pt idx="0">
                  <c:v>Cotos deportivos y municipales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1.8-1'!$I$11:$K$11</c:f>
              <c:strCache>
                <c:ptCount val="3"/>
                <c:pt idx="0">
                  <c:v>Huesca</c:v>
                </c:pt>
                <c:pt idx="1">
                  <c:v>Teruel</c:v>
                </c:pt>
                <c:pt idx="2">
                  <c:v>Zaragoza</c:v>
                </c:pt>
              </c:strCache>
            </c:strRef>
          </c:cat>
          <c:val>
            <c:numRef>
              <c:f>'Figura 1.8-1'!$I$12:$K$12</c:f>
              <c:numCache>
                <c:formatCode>0%</c:formatCode>
                <c:ptCount val="3"/>
                <c:pt idx="0">
                  <c:v>0.80430879712746861</c:v>
                </c:pt>
                <c:pt idx="1">
                  <c:v>0.82816901408450705</c:v>
                </c:pt>
                <c:pt idx="2">
                  <c:v>0.72653061224489801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5-445E-8CF7-632E4CBB86E8}"/>
            </c:ext>
          </c:extLst>
        </c:ser>
        <c:ser>
          <c:idx val="1"/>
          <c:order val="1"/>
          <c:tx>
            <c:strRef>
              <c:f>'Figura 1.8-1'!$B$5</c:f>
              <c:strCache>
                <c:ptCount val="1"/>
                <c:pt idx="0">
                  <c:v>Cotos privados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1.8-1'!$I$11:$K$11</c:f>
              <c:strCache>
                <c:ptCount val="3"/>
                <c:pt idx="0">
                  <c:v>Huesca</c:v>
                </c:pt>
                <c:pt idx="1">
                  <c:v>Teruel</c:v>
                </c:pt>
                <c:pt idx="2">
                  <c:v>Zaragoza</c:v>
                </c:pt>
              </c:strCache>
            </c:strRef>
          </c:cat>
          <c:val>
            <c:numRef>
              <c:f>'Figura 1.8-1'!$I$13:$K$13</c:f>
              <c:numCache>
                <c:formatCode>0%</c:formatCode>
                <c:ptCount val="3"/>
                <c:pt idx="0">
                  <c:v>0.17235188509874327</c:v>
                </c:pt>
                <c:pt idx="1">
                  <c:v>0.15211267605633802</c:v>
                </c:pt>
                <c:pt idx="2">
                  <c:v>0.23265306122448978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F5-445E-8CF7-632E4CBB86E8}"/>
            </c:ext>
          </c:extLst>
        </c:ser>
        <c:ser>
          <c:idx val="2"/>
          <c:order val="2"/>
          <c:tx>
            <c:strRef>
              <c:f>'Figura 1.8-1'!$B$6</c:f>
              <c:strCache>
                <c:ptCount val="1"/>
                <c:pt idx="0">
                  <c:v>Cotos intensivos de caza menor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1.8-1'!$I$11:$K$11</c:f>
              <c:strCache>
                <c:ptCount val="3"/>
                <c:pt idx="0">
                  <c:v>Huesca</c:v>
                </c:pt>
                <c:pt idx="1">
                  <c:v>Teruel</c:v>
                </c:pt>
                <c:pt idx="2">
                  <c:v>Zaragoza</c:v>
                </c:pt>
              </c:strCache>
            </c:strRef>
          </c:cat>
          <c:val>
            <c:numRef>
              <c:f>'Figura 1.8-1'!$I$14:$K$14</c:f>
              <c:numCache>
                <c:formatCode>0%</c:formatCode>
                <c:ptCount val="3"/>
                <c:pt idx="0">
                  <c:v>2.333931777378815E-2</c:v>
                </c:pt>
                <c:pt idx="1">
                  <c:v>1.9718309859154931E-2</c:v>
                </c:pt>
                <c:pt idx="2">
                  <c:v>4.0816326530612242E-2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F5-445E-8CF7-632E4CBB8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390848"/>
        <c:axId val="127392384"/>
      </c:barChart>
      <c:catAx>
        <c:axId val="12739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73923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739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7390848"/>
        <c:crossesAt val="1"/>
        <c:crossBetween val="between"/>
        <c:majorUnit val="0.2"/>
      </c:valAx>
      <c:spPr>
        <a:gradFill rotWithShape="0">
          <a:gsLst>
            <a:gs pos="0">
              <a:srgbClr val="FFFFFF"/>
            </a:gs>
            <a:gs pos="100000">
              <a:srgbClr val="FFFFFF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2648833865216955E-2"/>
          <c:y val="0.87841987888768802"/>
          <c:w val="0.90323524223423191"/>
          <c:h val="8.538143516374180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 panose="020B0502040204020203" pitchFamily="34" charset="0"/>
          <a:ea typeface="Arial"/>
          <a:cs typeface="Segoe UI" panose="020B0502040204020203" pitchFamily="34" charset="0"/>
        </a:defRPr>
      </a:pPr>
      <a:endParaRPr lang="es-ES"/>
    </a:p>
  </c:txPr>
  <c:printSettings>
    <c:headerFooter alignWithMargins="0"/>
    <c:pageMargins b="1" l="0.75000000000000944" r="0.75000000000000944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'Figura 1.8-3'!$B$3</c:f>
              <c:strCache>
                <c:ptCount val="1"/>
                <c:pt idx="0">
                  <c:v> Número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CE2-478D-9273-D288A4FE0B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CE2-478D-9273-D288A4FE0B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E2-478D-9273-D288A4FE0B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E2-478D-9273-D288A4FE0B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E2-478D-9273-D288A4FE0B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CE2-478D-9273-D288A4FE0B4B}"/>
              </c:ext>
            </c:extLst>
          </c:dPt>
          <c:dLbls>
            <c:dLbl>
              <c:idx val="0"/>
              <c:layout>
                <c:manualLayout>
                  <c:x val="7.3285165197047003E-2"/>
                  <c:y val="1.921650491362995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E2-478D-9273-D288A4FE0B4B}"/>
                </c:ext>
              </c:extLst>
            </c:dLbl>
            <c:dLbl>
              <c:idx val="1"/>
              <c:layout>
                <c:manualLayout>
                  <c:x val="0.22378169021007205"/>
                  <c:y val="-0.1184554721357504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E2-478D-9273-D288A4FE0B4B}"/>
                </c:ext>
              </c:extLst>
            </c:dLbl>
            <c:dLbl>
              <c:idx val="2"/>
              <c:layout>
                <c:manualLayout>
                  <c:x val="-2.9539912379866376E-2"/>
                  <c:y val="6.977720808154794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E2-478D-9273-D288A4FE0B4B}"/>
                </c:ext>
              </c:extLst>
            </c:dLbl>
            <c:dLbl>
              <c:idx val="3"/>
              <c:layout>
                <c:manualLayout>
                  <c:x val="-4.8703818389742477E-2"/>
                  <c:y val="5.308331807361289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E2-478D-9273-D288A4FE0B4B}"/>
                </c:ext>
              </c:extLst>
            </c:dLbl>
            <c:dLbl>
              <c:idx val="4"/>
              <c:layout>
                <c:manualLayout>
                  <c:x val="-5.7038216664864458E-2"/>
                  <c:y val="2.291033388268326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E2-478D-9273-D288A4FE0B4B}"/>
                </c:ext>
              </c:extLst>
            </c:dLbl>
            <c:dLbl>
              <c:idx val="5"/>
              <c:layout>
                <c:manualLayout>
                  <c:x val="4.3305841451466508E-2"/>
                  <c:y val="3.100775193798449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841870889734288"/>
                      <c:h val="0.145395348837209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CE2-478D-9273-D288A4FE0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1.8-3'!$A$4:$A$9</c:f>
              <c:strCache>
                <c:ptCount val="6"/>
                <c:pt idx="0">
                  <c:v> Cataluña </c:v>
                </c:pt>
                <c:pt idx="1">
                  <c:v> C. Valencia </c:v>
                </c:pt>
                <c:pt idx="2">
                  <c:v> Navarra </c:v>
                </c:pt>
                <c:pt idx="3">
                  <c:v> País Vasco </c:v>
                </c:pt>
                <c:pt idx="4">
                  <c:v> C. Madrid </c:v>
                </c:pt>
                <c:pt idx="5">
                  <c:v> Resto </c:v>
                </c:pt>
              </c:strCache>
            </c:strRef>
          </c:cat>
          <c:val>
            <c:numRef>
              <c:f>'Figura 1.8-3'!$B$4:$B$9</c:f>
              <c:numCache>
                <c:formatCode>_(* #,##0_);_(* \(#,##0\);_(* "-"??_);_(@_)</c:formatCode>
                <c:ptCount val="6"/>
                <c:pt idx="0">
                  <c:v>3979</c:v>
                </c:pt>
                <c:pt idx="1">
                  <c:v>2993</c:v>
                </c:pt>
                <c:pt idx="2">
                  <c:v>2036</c:v>
                </c:pt>
                <c:pt idx="3">
                  <c:v>1141</c:v>
                </c:pt>
                <c:pt idx="4">
                  <c:v>501</c:v>
                </c:pt>
                <c:pt idx="5">
                  <c:v>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2-478D-9273-D288A4FE0B4B}"/>
            </c:ext>
          </c:extLst>
        </c:ser>
        <c:ser>
          <c:idx val="1"/>
          <c:order val="1"/>
          <c:tx>
            <c:strRef>
              <c:f>'Figura 1.8-3'!$C$3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F7-4A39-9BD4-BFFB8FB2A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F7-4A39-9BD4-BFFB8FB2A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6F7-4A39-9BD4-BFFB8FB2A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6F7-4A39-9BD4-BFFB8FB2A0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6F7-4A39-9BD4-BFFB8FB2A0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6F7-4A39-9BD4-BFFB8FB2A018}"/>
              </c:ext>
            </c:extLst>
          </c:dPt>
          <c:cat>
            <c:strRef>
              <c:f>'Figura 1.8-3'!$A$4:$A$9</c:f>
              <c:strCache>
                <c:ptCount val="6"/>
                <c:pt idx="0">
                  <c:v> Cataluña </c:v>
                </c:pt>
                <c:pt idx="1">
                  <c:v> C. Valencia </c:v>
                </c:pt>
                <c:pt idx="2">
                  <c:v> Navarra </c:v>
                </c:pt>
                <c:pt idx="3">
                  <c:v> País Vasco </c:v>
                </c:pt>
                <c:pt idx="4">
                  <c:v> C. Madrid </c:v>
                </c:pt>
                <c:pt idx="5">
                  <c:v> Resto </c:v>
                </c:pt>
              </c:strCache>
            </c:strRef>
          </c:cat>
          <c:val>
            <c:numRef>
              <c:f>'Figura 1.8-3'!$C$4:$C$9</c:f>
              <c:numCache>
                <c:formatCode>0.00%</c:formatCode>
                <c:ptCount val="6"/>
                <c:pt idx="0">
                  <c:v>0.33754665761791652</c:v>
                </c:pt>
                <c:pt idx="1">
                  <c:v>0.253902273498473</c:v>
                </c:pt>
                <c:pt idx="2">
                  <c:v>0.17271801832371902</c:v>
                </c:pt>
                <c:pt idx="3">
                  <c:v>9.6793349168646084E-2</c:v>
                </c:pt>
                <c:pt idx="4">
                  <c:v>4.2500848320325753E-2</c:v>
                </c:pt>
                <c:pt idx="5">
                  <c:v>9.6538853070919584E-2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2-478D-9273-D288A4FE0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17993361738803"/>
          <c:y val="5.6515091250527526E-2"/>
          <c:w val="0.37110994621805521"/>
          <c:h val="0.63296273551394167"/>
        </c:manualLayout>
      </c:layout>
      <c:pieChart>
        <c:varyColors val="1"/>
        <c:ser>
          <c:idx val="0"/>
          <c:order val="0"/>
          <c:tx>
            <c:strRef>
              <c:f>'Figura 1.8-7'!$C$3</c:f>
              <c:strCache>
                <c:ptCount val="1"/>
                <c:pt idx="0">
                  <c:v>Km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7E-4233-A9BA-E231BAEDB7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7E-4233-A9BA-E231BAEDB7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7E-4233-A9BA-E231BAEDB7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7E-4233-A9BA-E231BAEDB7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7E-4233-A9BA-E231BAEDB7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97E-4233-A9BA-E231BAEDB7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7E-4233-A9BA-E231BAEDB7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7E-4233-A9BA-E231BAEDB75A}"/>
              </c:ext>
            </c:extLst>
          </c:dPt>
          <c:dLbls>
            <c:dLbl>
              <c:idx val="0"/>
              <c:layout>
                <c:manualLayout>
                  <c:x val="8.7689972266584496E-2"/>
                  <c:y val="2.2056637276342225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7E-4233-A9BA-E231BAEDB75A}"/>
                </c:ext>
              </c:extLst>
            </c:dLbl>
            <c:dLbl>
              <c:idx val="5"/>
              <c:layout>
                <c:manualLayout>
                  <c:x val="4.0127850407094823E-2"/>
                  <c:y val="-5.08870357454147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7E-4233-A9BA-E231BAEDB75A}"/>
                </c:ext>
              </c:extLst>
            </c:dLbl>
            <c:dLbl>
              <c:idx val="6"/>
              <c:layout>
                <c:manualLayout>
                  <c:x val="-3.1969118657934587E-2"/>
                  <c:y val="1.26819296280961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7E-4233-A9BA-E231BAEDB75A}"/>
                </c:ext>
              </c:extLst>
            </c:dLbl>
            <c:dLbl>
              <c:idx val="7"/>
              <c:layout>
                <c:manualLayout>
                  <c:x val="4.6379850445653053E-3"/>
                  <c:y val="-6.6571678397787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7E-4233-A9BA-E231BAEDB75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1.8-7'!$A$4:$A$11</c:f>
              <c:strCache>
                <c:ptCount val="8"/>
                <c:pt idx="0">
                  <c:v>Vedados de pesca</c:v>
                </c:pt>
                <c:pt idx="1">
                  <c:v>Cotos deportivos de pesca</c:v>
                </c:pt>
                <c:pt idx="2">
                  <c:v>Tramos de pesca intensiva</c:v>
                </c:pt>
                <c:pt idx="3">
                  <c:v>Cotos privados de pesca</c:v>
                </c:pt>
                <c:pt idx="4">
                  <c:v>Cotos sociales de captura y suelta</c:v>
                </c:pt>
                <c:pt idx="5">
                  <c:v>Tramos libres de captura y suelta salmonícolas</c:v>
                </c:pt>
                <c:pt idx="6">
                  <c:v>Tramos libres extractivos salmonícolas</c:v>
                </c:pt>
                <c:pt idx="7">
                  <c:v>Tramos libres de captura y suelta ciprinícolas</c:v>
                </c:pt>
              </c:strCache>
            </c:strRef>
          </c:cat>
          <c:val>
            <c:numRef>
              <c:f>'Figura 1.8-7'!$C$4:$C$11</c:f>
              <c:numCache>
                <c:formatCode>_(* #,##0.00_);_(* \(#,##0.00\);_(* "-"??_);_(@_)</c:formatCode>
                <c:ptCount val="8"/>
                <c:pt idx="0">
                  <c:v>1072.0237757999998</c:v>
                </c:pt>
                <c:pt idx="1">
                  <c:v>823.6869999999999</c:v>
                </c:pt>
                <c:pt idx="2">
                  <c:v>119.33033926959989</c:v>
                </c:pt>
                <c:pt idx="3">
                  <c:v>0.8</c:v>
                </c:pt>
                <c:pt idx="4">
                  <c:v>251.8736102</c:v>
                </c:pt>
                <c:pt idx="5">
                  <c:v>2613.5278381349999</c:v>
                </c:pt>
                <c:pt idx="6">
                  <c:v>219.7</c:v>
                </c:pt>
                <c:pt idx="7">
                  <c:v>3141.6044365950002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97E-4233-A9BA-E231BAEDB75A}"/>
            </c:ext>
          </c:extLst>
        </c:ser>
        <c:ser>
          <c:idx val="1"/>
          <c:order val="1"/>
          <c:tx>
            <c:strRef>
              <c:f>'Figura 1.8-7'!$C$3</c:f>
              <c:strCache>
                <c:ptCount val="1"/>
                <c:pt idx="0">
                  <c:v>Km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D0-462F-993F-200543581C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D0-462F-993F-200543581C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0D0-462F-993F-200543581C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0D0-462F-993F-200543581C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0D0-462F-993F-200543581CB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0D0-462F-993F-200543581CB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0D0-462F-993F-200543581CB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0D0-462F-993F-200543581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1.8-7'!$A$4:$A$11</c:f>
              <c:strCache>
                <c:ptCount val="8"/>
                <c:pt idx="0">
                  <c:v>Vedados de pesca</c:v>
                </c:pt>
                <c:pt idx="1">
                  <c:v>Cotos deportivos de pesca</c:v>
                </c:pt>
                <c:pt idx="2">
                  <c:v>Tramos de pesca intensiva</c:v>
                </c:pt>
                <c:pt idx="3">
                  <c:v>Cotos privados de pesca</c:v>
                </c:pt>
                <c:pt idx="4">
                  <c:v>Cotos sociales de captura y suelta</c:v>
                </c:pt>
                <c:pt idx="5">
                  <c:v>Tramos libres de captura y suelta salmonícolas</c:v>
                </c:pt>
                <c:pt idx="6">
                  <c:v>Tramos libres extractivos salmonícolas</c:v>
                </c:pt>
                <c:pt idx="7">
                  <c:v>Tramos libres de captura y suelta ciprinícolas</c:v>
                </c:pt>
              </c:strCache>
            </c:strRef>
          </c:cat>
          <c:val>
            <c:numRef>
              <c:f>'Figura 1.8-7'!$C$4:$C$11</c:f>
              <c:numCache>
                <c:formatCode>_(* #,##0.00_);_(* \(#,##0.00\);_(* "-"??_);_(@_)</c:formatCode>
                <c:ptCount val="8"/>
                <c:pt idx="0">
                  <c:v>1072.0237757999998</c:v>
                </c:pt>
                <c:pt idx="1">
                  <c:v>823.6869999999999</c:v>
                </c:pt>
                <c:pt idx="2">
                  <c:v>119.33033926959989</c:v>
                </c:pt>
                <c:pt idx="3">
                  <c:v>0.8</c:v>
                </c:pt>
                <c:pt idx="4">
                  <c:v>251.8736102</c:v>
                </c:pt>
                <c:pt idx="5">
                  <c:v>2613.5278381349999</c:v>
                </c:pt>
                <c:pt idx="6">
                  <c:v>219.7</c:v>
                </c:pt>
                <c:pt idx="7">
                  <c:v>3141.6044365950002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97E-4233-A9BA-E231BAEDB7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s-ES"/>
    </a:p>
  </c:txPr>
  <c:printSettings>
    <c:headerFooter alignWithMargins="0"/>
    <c:pageMargins b="1" l="0.75000000000001021" r="0.7500000000000102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80945781733194"/>
          <c:y val="8.8471965681506726E-2"/>
          <c:w val="0.47572890708578536"/>
          <c:h val="0.78820478516251358"/>
        </c:manualLayout>
      </c:layout>
      <c:pieChart>
        <c:varyColors val="1"/>
        <c:ser>
          <c:idx val="0"/>
          <c:order val="0"/>
          <c:tx>
            <c:strRef>
              <c:f>'Figura 1.8-8'!$C$3</c:f>
              <c:strCache>
                <c:ptCount val="1"/>
                <c:pt idx="0">
                  <c:v> km 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49-4975-BBB9-C5CAB1DB5B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49-4975-BBB9-C5CAB1DB5B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49-4975-BBB9-C5CAB1DB5B7B}"/>
              </c:ext>
            </c:extLst>
          </c:dPt>
          <c:dLbls>
            <c:dLbl>
              <c:idx val="0"/>
              <c:layout>
                <c:manualLayout>
                  <c:x val="-1.4585188004211094E-2"/>
                  <c:y val="9.863773575943054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49-4975-BBB9-C5CAB1DB5B7B}"/>
                </c:ext>
              </c:extLst>
            </c:dLbl>
            <c:dLbl>
              <c:idx val="1"/>
              <c:layout>
                <c:manualLayout>
                  <c:x val="3.0054101445884294E-2"/>
                  <c:y val="1.160289318296013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49-4975-BBB9-C5CAB1DB5B7B}"/>
                </c:ext>
              </c:extLst>
            </c:dLbl>
            <c:dLbl>
              <c:idx val="2"/>
              <c:layout>
                <c:manualLayout>
                  <c:x val="-5.1911183715225594E-2"/>
                  <c:y val="-0.1245326779006137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49-4975-BBB9-C5CAB1DB5B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1.8-8'!$A$4:$A$6</c:f>
              <c:strCache>
                <c:ptCount val="3"/>
                <c:pt idx="0">
                  <c:v> Prohibida la pesca </c:v>
                </c:pt>
                <c:pt idx="1">
                  <c:v> Pesca con extracción </c:v>
                </c:pt>
                <c:pt idx="2">
                  <c:v> Pesca captura y suelta </c:v>
                </c:pt>
              </c:strCache>
            </c:strRef>
          </c:cat>
          <c:val>
            <c:numRef>
              <c:f>'Figura 1.8-8'!$C$4:$C$6</c:f>
              <c:numCache>
                <c:formatCode>_(* #,##0.00_);_(* \(#,##0.00\);_(* "-"??_);_(@_)</c:formatCode>
                <c:ptCount val="3"/>
                <c:pt idx="0">
                  <c:v>1072.0237757999998</c:v>
                </c:pt>
                <c:pt idx="1">
                  <c:v>436.56033926959998</c:v>
                </c:pt>
                <c:pt idx="2">
                  <c:v>6733.9670654426491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49-4975-BBB9-C5CAB1DB5B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Segoe UI" panose="020B0502040204020203" pitchFamily="34" charset="0"/>
          <a:ea typeface="+mn-ea"/>
          <a:cs typeface="Segoe UI" panose="020B0502040204020203" pitchFamily="34" charset="0"/>
        </a:defRPr>
      </a:pPr>
      <a:endParaRPr lang="es-ES"/>
    </a:p>
  </c:txPr>
  <c:printSettings>
    <c:headerFooter alignWithMargins="0"/>
    <c:pageMargins b="1" l="0.75000000000000999" r="0.75000000000000999" t="1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2358864398316"/>
          <c:y val="0.12121199600279234"/>
          <c:w val="0.49110167007927197"/>
          <c:h val="0.73048474096759786"/>
        </c:manualLayout>
      </c:layout>
      <c:pieChart>
        <c:varyColors val="1"/>
        <c:ser>
          <c:idx val="0"/>
          <c:order val="0"/>
          <c:tx>
            <c:strRef>
              <c:f>'Figura 1.8-9'!$C$3</c:f>
              <c:strCache>
                <c:ptCount val="1"/>
                <c:pt idx="0">
                  <c:v>km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AA-455A-AF62-7439C93C0C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AA-455A-AF62-7439C93C0C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AA-455A-AF62-7439C93C0C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AA-455A-AF62-7439C93C0C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AA-455A-AF62-7439C93C0C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1AA-455A-AF62-7439C93C0C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1AA-455A-AF62-7439C93C0C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1AA-455A-AF62-7439C93C0CFD}"/>
              </c:ext>
            </c:extLst>
          </c:dPt>
          <c:dLbls>
            <c:dLbl>
              <c:idx val="0"/>
              <c:layout>
                <c:manualLayout>
                  <c:x val="-1.5305263578960416E-2"/>
                  <c:y val="2.2445969623453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AA-455A-AF62-7439C93C0CFD}"/>
                </c:ext>
              </c:extLst>
            </c:dLbl>
            <c:dLbl>
              <c:idx val="5"/>
              <c:layout>
                <c:manualLayout>
                  <c:x val="-7.5398158109875053E-4"/>
                  <c:y val="-0.238187546884241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AA-455A-AF62-7439C93C0C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1.8-9'!$A$4:$A$9</c:f>
              <c:strCache>
                <c:ptCount val="6"/>
                <c:pt idx="0">
                  <c:v>Vedados de pesca</c:v>
                </c:pt>
                <c:pt idx="1">
                  <c:v>Cotos deportivos de pesca</c:v>
                </c:pt>
                <c:pt idx="2">
                  <c:v>Tramos de pesca intensiva</c:v>
                </c:pt>
                <c:pt idx="3">
                  <c:v>Tramos libres extractivos</c:v>
                </c:pt>
                <c:pt idx="4">
                  <c:v>Cotos sociales de captura y suelta</c:v>
                </c:pt>
                <c:pt idx="5">
                  <c:v>Tramos libres de captura y suelta</c:v>
                </c:pt>
              </c:strCache>
            </c:strRef>
          </c:cat>
          <c:val>
            <c:numRef>
              <c:f>'Figura 1.8-9'!$C$4:$C$9</c:f>
              <c:numCache>
                <c:formatCode>_(* #,##0.00_);_(* \(#,##0.00\);_(* "-"??_);_(@_)</c:formatCode>
                <c:ptCount val="6"/>
                <c:pt idx="0">
                  <c:v>939.90476599999988</c:v>
                </c:pt>
                <c:pt idx="1">
                  <c:v>125.608</c:v>
                </c:pt>
                <c:pt idx="2">
                  <c:v>119.33033926959989</c:v>
                </c:pt>
                <c:pt idx="3">
                  <c:v>219.7</c:v>
                </c:pt>
                <c:pt idx="4">
                  <c:v>245.0086202</c:v>
                </c:pt>
                <c:pt idx="5">
                  <c:v>2617.86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1AA-455A-AF62-7439C93C0C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033" r="0.75000000000001033" t="1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09281084366395"/>
          <c:y val="0.10811331231997805"/>
          <c:w val="0.57003292104813552"/>
          <c:h val="0.64688483001104491"/>
        </c:manualLayout>
      </c:layout>
      <c:pieChart>
        <c:varyColors val="1"/>
        <c:ser>
          <c:idx val="0"/>
          <c:order val="0"/>
          <c:tx>
            <c:strRef>
              <c:f>'Figura 1.8-10'!$B$3</c:f>
              <c:strCache>
                <c:ptCount val="1"/>
                <c:pt idx="0">
                  <c:v>Km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04-4416-833B-0230F3E919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04-4416-833B-0230F3E919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04-4416-833B-0230F3E9190A}"/>
              </c:ext>
            </c:extLst>
          </c:dPt>
          <c:dLbls>
            <c:dLbl>
              <c:idx val="0"/>
              <c:layout>
                <c:manualLayout>
                  <c:x val="1.2036030399906158E-2"/>
                  <c:y val="6.722389153889572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04-4416-833B-0230F3E9190A}"/>
                </c:ext>
              </c:extLst>
            </c:dLbl>
            <c:dLbl>
              <c:idx val="1"/>
              <c:layout>
                <c:manualLayout>
                  <c:x val="-1.143889545760937E-2"/>
                  <c:y val="7.735734577041242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04-4416-833B-0230F3E9190A}"/>
                </c:ext>
              </c:extLst>
            </c:dLbl>
            <c:dLbl>
              <c:idx val="2"/>
              <c:layout>
                <c:manualLayout>
                  <c:x val="-4.2712871169304972E-2"/>
                  <c:y val="5.802862007263537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04-4416-833B-0230F3E919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1.8-10'!$A$4:$A$6</c:f>
              <c:strCache>
                <c:ptCount val="3"/>
                <c:pt idx="0">
                  <c:v>Prohibida la pesca</c:v>
                </c:pt>
                <c:pt idx="1">
                  <c:v>Pesca con extracción</c:v>
                </c:pt>
                <c:pt idx="2">
                  <c:v>Pesca captura y suelta</c:v>
                </c:pt>
              </c:strCache>
            </c:strRef>
          </c:cat>
          <c:val>
            <c:numRef>
              <c:f>'Figura 1.8-10'!$B$4:$B$6</c:f>
              <c:numCache>
                <c:formatCode>_(* #,##0.00_);_(* \(#,##0.00\);_(* "-"??_);_(@_)</c:formatCode>
                <c:ptCount val="3"/>
                <c:pt idx="0">
                  <c:v>939.90476599999988</c:v>
                </c:pt>
                <c:pt idx="1">
                  <c:v>367.91033926959989</c:v>
                </c:pt>
                <c:pt idx="2">
                  <c:v>2959.5986201999999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04-4416-833B-0230F3E9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0999" r="0.75000000000000999" t="1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26244905060223"/>
          <c:y val="0.11946902654867272"/>
          <c:w val="0.85136702886679139"/>
          <c:h val="0.714601769911504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9D-4B76-88EE-B8445FA7970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29D-4B76-88EE-B8445FA7970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29D-4B76-88EE-B8445FA7970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29D-4B76-88EE-B8445FA7970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29D-4B76-88EE-B8445FA7970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29D-4B76-88EE-B8445FA7970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29D-4B76-88EE-B8445FA7970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29D-4B76-88EE-B8445FA7970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29D-4B76-88EE-B8445FA7970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29D-4B76-88EE-B8445FA7970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29D-4B76-88EE-B8445FA7970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29D-4B76-88EE-B8445FA7970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29D-4B76-88EE-B8445FA7970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29D-4B76-88EE-B8445FA7970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29D-4B76-88EE-B8445FA7970F}"/>
              </c:ext>
            </c:extLst>
          </c:dPt>
          <c:dPt>
            <c:idx val="15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529D-4B76-88EE-B8445FA7970F}"/>
              </c:ext>
            </c:extLst>
          </c:dPt>
          <c:dPt>
            <c:idx val="16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529D-4B76-88EE-B8445FA7970F}"/>
              </c:ext>
            </c:extLst>
          </c:dPt>
          <c:dPt>
            <c:idx val="17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529D-4B76-88EE-B8445FA7970F}"/>
              </c:ext>
            </c:extLst>
          </c:dPt>
          <c:dPt>
            <c:idx val="18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529D-4B76-88EE-B8445FA7970F}"/>
              </c:ext>
            </c:extLst>
          </c:dPt>
          <c:dPt>
            <c:idx val="19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529D-4B76-88EE-B8445FA7970F}"/>
              </c:ext>
            </c:extLst>
          </c:dPt>
          <c:dPt>
            <c:idx val="20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529D-4B76-88EE-B8445FA7970F}"/>
              </c:ext>
            </c:extLst>
          </c:dPt>
          <c:dPt>
            <c:idx val="21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529D-4B76-88EE-B8445FA7970F}"/>
              </c:ext>
            </c:extLst>
          </c:dPt>
          <c:dPt>
            <c:idx val="22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529D-4B76-88EE-B8445FA7970F}"/>
              </c:ext>
            </c:extLst>
          </c:dPt>
          <c:dPt>
            <c:idx val="23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529D-4B76-88EE-B8445FA7970F}"/>
              </c:ext>
            </c:extLst>
          </c:dPt>
          <c:dPt>
            <c:idx val="24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529D-4B76-88EE-B8445FA7970F}"/>
              </c:ext>
            </c:extLst>
          </c:dPt>
          <c:dPt>
            <c:idx val="25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529D-4B76-88EE-B8445FA7970F}"/>
              </c:ext>
            </c:extLst>
          </c:dPt>
          <c:dPt>
            <c:idx val="26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529D-4B76-88EE-B8445FA7970F}"/>
              </c:ext>
            </c:extLst>
          </c:dPt>
          <c:dPt>
            <c:idx val="27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529D-4B76-88EE-B8445FA7970F}"/>
              </c:ext>
            </c:extLst>
          </c:dPt>
          <c:dPt>
            <c:idx val="28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529D-4B76-88EE-B8445FA7970F}"/>
              </c:ext>
            </c:extLst>
          </c:dPt>
          <c:dPt>
            <c:idx val="29"/>
            <c:invertIfNegative val="0"/>
            <c:bubble3D val="0"/>
            <c:spPr>
              <a:solidFill>
                <a:srgbClr val="4B973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529D-4B76-88EE-B8445FA7970F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529D-4B76-88EE-B8445FA7970F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529D-4B76-88EE-B8445FA7970F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2-529D-4B76-88EE-B8445FA7970F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4-529D-4B76-88EE-B8445FA7970F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6-529D-4B76-88EE-B8445FA7970F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8-529D-4B76-88EE-B8445FA7970F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A-529D-4B76-88EE-B8445FA7970F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C-529D-4B76-88EE-B8445FA7970F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E-529D-4B76-88EE-B8445FA7970F}"/>
              </c:ext>
            </c:extLst>
          </c:dPt>
          <c:dPt>
            <c:idx val="39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0-529D-4B76-88EE-B8445FA7970F}"/>
              </c:ext>
            </c:extLst>
          </c:dPt>
          <c:dPt>
            <c:idx val="40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2-529D-4B76-88EE-B8445FA7970F}"/>
              </c:ext>
            </c:extLst>
          </c:dPt>
          <c:dPt>
            <c:idx val="41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4-529D-4B76-88EE-B8445FA7970F}"/>
              </c:ext>
            </c:extLst>
          </c:dPt>
          <c:dPt>
            <c:idx val="42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6-529D-4B76-88EE-B8445FA7970F}"/>
              </c:ext>
            </c:extLst>
          </c:dPt>
          <c:dPt>
            <c:idx val="43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8-529D-4B76-88EE-B8445FA7970F}"/>
              </c:ext>
            </c:extLst>
          </c:dPt>
          <c:dPt>
            <c:idx val="44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A-529D-4B76-88EE-B8445FA7970F}"/>
              </c:ext>
            </c:extLst>
          </c:dPt>
          <c:cat>
            <c:multiLvlStrRef>
              <c:f>'Figura 1.8-11'!$A$3:$AS$4</c:f>
              <c:multiLvlStrCache>
                <c:ptCount val="45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  <c:pt idx="23">
                    <c:v>2016</c:v>
                  </c:pt>
                  <c:pt idx="24">
                    <c:v>2017</c:v>
                  </c:pt>
                  <c:pt idx="25">
                    <c:v>2018</c:v>
                  </c:pt>
                  <c:pt idx="26">
                    <c:v>2019</c:v>
                  </c:pt>
                  <c:pt idx="27">
                    <c:v>2020</c:v>
                  </c:pt>
                  <c:pt idx="28">
                    <c:v>2021</c:v>
                  </c:pt>
                  <c:pt idx="29">
                    <c:v>2022</c:v>
                  </c:pt>
                  <c:pt idx="30">
                    <c:v>2008</c:v>
                  </c:pt>
                  <c:pt idx="31">
                    <c:v>2009</c:v>
                  </c:pt>
                  <c:pt idx="32">
                    <c:v>2010</c:v>
                  </c:pt>
                  <c:pt idx="33">
                    <c:v>2011</c:v>
                  </c:pt>
                  <c:pt idx="34">
                    <c:v>2012</c:v>
                  </c:pt>
                  <c:pt idx="35">
                    <c:v>2013</c:v>
                  </c:pt>
                  <c:pt idx="36">
                    <c:v>2014</c:v>
                  </c:pt>
                  <c:pt idx="37">
                    <c:v>2015</c:v>
                  </c:pt>
                  <c:pt idx="38">
                    <c:v>2016</c:v>
                  </c:pt>
                  <c:pt idx="39">
                    <c:v>2017</c:v>
                  </c:pt>
                  <c:pt idx="40">
                    <c:v>2018</c:v>
                  </c:pt>
                  <c:pt idx="41">
                    <c:v>2019</c:v>
                  </c:pt>
                  <c:pt idx="42">
                    <c:v>2020</c:v>
                  </c:pt>
                  <c:pt idx="43">
                    <c:v>2021</c:v>
                  </c:pt>
                  <c:pt idx="44">
                    <c:v>2022</c:v>
                  </c:pt>
                </c:lvl>
                <c:lvl>
                  <c:pt idx="0">
                    <c:v>EXTRACCIÓN</c:v>
                  </c:pt>
                  <c:pt idx="15">
                    <c:v>CAPTURA Y SUELTA</c:v>
                  </c:pt>
                  <c:pt idx="30">
                    <c:v>VEDADO</c:v>
                  </c:pt>
                </c:lvl>
              </c:multiLvlStrCache>
            </c:multiLvlStrRef>
          </c:cat>
          <c:val>
            <c:numRef>
              <c:f>'Figura 1.8-11'!$A$5:$AS$5</c:f>
              <c:numCache>
                <c:formatCode>#,##0.0</c:formatCode>
                <c:ptCount val="45"/>
                <c:pt idx="0">
                  <c:v>3479.5175410000002</c:v>
                </c:pt>
                <c:pt idx="1">
                  <c:v>3342.2769050000002</c:v>
                </c:pt>
                <c:pt idx="2">
                  <c:v>3314.765817</c:v>
                </c:pt>
                <c:pt idx="3">
                  <c:v>3200.917391</c:v>
                </c:pt>
                <c:pt idx="4">
                  <c:v>3187.9664339999999</c:v>
                </c:pt>
                <c:pt idx="5">
                  <c:v>3033.2355870000001</c:v>
                </c:pt>
                <c:pt idx="6">
                  <c:v>2894.8272989999996</c:v>
                </c:pt>
                <c:pt idx="7">
                  <c:v>2602.6999999999998</c:v>
                </c:pt>
                <c:pt idx="8">
                  <c:v>822.46399999999994</c:v>
                </c:pt>
                <c:pt idx="9">
                  <c:v>633.70000000000005</c:v>
                </c:pt>
                <c:pt idx="10">
                  <c:v>612.79999999999995</c:v>
                </c:pt>
                <c:pt idx="11">
                  <c:v>496.7</c:v>
                </c:pt>
                <c:pt idx="12">
                  <c:v>494.7</c:v>
                </c:pt>
                <c:pt idx="13">
                  <c:v>482.49</c:v>
                </c:pt>
                <c:pt idx="14">
                  <c:v>367.91033926959989</c:v>
                </c:pt>
                <c:pt idx="15">
                  <c:v>274.27187199999997</c:v>
                </c:pt>
                <c:pt idx="16">
                  <c:v>424.61266499999999</c:v>
                </c:pt>
                <c:pt idx="17">
                  <c:v>453.21003100000001</c:v>
                </c:pt>
                <c:pt idx="18">
                  <c:v>480.21689500000002</c:v>
                </c:pt>
                <c:pt idx="19">
                  <c:v>503.14840099999998</c:v>
                </c:pt>
                <c:pt idx="20">
                  <c:v>688.304486</c:v>
                </c:pt>
                <c:pt idx="21">
                  <c:v>717.02535200000011</c:v>
                </c:pt>
                <c:pt idx="22">
                  <c:v>880.3</c:v>
                </c:pt>
                <c:pt idx="23">
                  <c:v>2603.6880000000001</c:v>
                </c:pt>
                <c:pt idx="24">
                  <c:v>2861.3</c:v>
                </c:pt>
                <c:pt idx="25">
                  <c:v>2808.7</c:v>
                </c:pt>
                <c:pt idx="26">
                  <c:v>2885.6</c:v>
                </c:pt>
                <c:pt idx="27">
                  <c:v>2918.8510000000001</c:v>
                </c:pt>
                <c:pt idx="28" formatCode="General">
                  <c:v>2892.741</c:v>
                </c:pt>
                <c:pt idx="29" formatCode="#,##0.00">
                  <c:v>2959.5986201999999</c:v>
                </c:pt>
                <c:pt idx="30">
                  <c:v>661.33682799999997</c:v>
                </c:pt>
                <c:pt idx="31">
                  <c:v>651.023146</c:v>
                </c:pt>
                <c:pt idx="32">
                  <c:v>642.19085099999995</c:v>
                </c:pt>
                <c:pt idx="33">
                  <c:v>730.87123199999996</c:v>
                </c:pt>
                <c:pt idx="34">
                  <c:v>755.51111300000002</c:v>
                </c:pt>
                <c:pt idx="35">
                  <c:v>730.71840299999997</c:v>
                </c:pt>
                <c:pt idx="36">
                  <c:v>746.61264300000005</c:v>
                </c:pt>
                <c:pt idx="37" formatCode="General">
                  <c:v>745</c:v>
                </c:pt>
                <c:pt idx="38" formatCode="General">
                  <c:v>801.8</c:v>
                </c:pt>
                <c:pt idx="39" formatCode="General">
                  <c:v>806.6</c:v>
                </c:pt>
                <c:pt idx="40">
                  <c:v>868.4</c:v>
                </c:pt>
                <c:pt idx="41">
                  <c:v>905.6</c:v>
                </c:pt>
                <c:pt idx="42" formatCode="#,##0.00">
                  <c:v>905.6</c:v>
                </c:pt>
                <c:pt idx="43" formatCode="General">
                  <c:v>937.28300000000002</c:v>
                </c:pt>
                <c:pt idx="44" formatCode="#,##0.00">
                  <c:v>939.90476599999988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529D-4B76-88EE-B8445FA79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8229760"/>
        <c:axId val="128231296"/>
      </c:barChart>
      <c:catAx>
        <c:axId val="1282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s-ES"/>
          </a:p>
        </c:txPr>
        <c:crossAx val="1282312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8231296"/>
        <c:scaling>
          <c:orientation val="minMax"/>
          <c:max val="3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Km de río</a:t>
                </a:r>
              </a:p>
            </c:rich>
          </c:tx>
          <c:layout>
            <c:manualLayout>
              <c:xMode val="edge"/>
              <c:yMode val="edge"/>
              <c:x val="6.8852549961663567E-2"/>
              <c:y val="0.402654867256646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8229760"/>
        <c:crossesAt val="1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 panose="020B0502040204020203" pitchFamily="34" charset="0"/>
          <a:ea typeface="Arial"/>
          <a:cs typeface="Segoe UI" panose="020B0502040204020203" pitchFamily="34" charset="0"/>
        </a:defRPr>
      </a:pPr>
      <a:endParaRPr lang="es-ES"/>
    </a:p>
  </c:txPr>
  <c:printSettings>
    <c:headerFooter alignWithMargins="0"/>
    <c:pageMargins b="1" l="0.75000000000000999" r="0.75000000000000999" t="1" header="0.51180555555555562" footer="0.51180555555555562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56186689319932"/>
          <c:y val="0.14000030382010659"/>
          <c:w val="0.44590706938030134"/>
          <c:h val="0.67777924865290573"/>
        </c:manualLayout>
      </c:layout>
      <c:pieChart>
        <c:varyColors val="1"/>
        <c:ser>
          <c:idx val="0"/>
          <c:order val="0"/>
          <c:tx>
            <c:strRef>
              <c:f>'Figura 1.8-12'!$B$3</c:f>
              <c:strCache>
                <c:ptCount val="1"/>
                <c:pt idx="0">
                  <c:v>nº pescadores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54-41BE-9FCA-66B80C79D6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54-41BE-9FCA-66B80C79D6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54-41BE-9FCA-66B80C79D6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54-41BE-9FCA-66B80C79D6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54-41BE-9FCA-66B80C79D60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54-41BE-9FCA-66B80C79D60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754-41BE-9FCA-66B80C79D60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754-41BE-9FCA-66B80C79D605}"/>
              </c:ext>
            </c:extLst>
          </c:dPt>
          <c:dLbls>
            <c:dLbl>
              <c:idx val="0"/>
              <c:layout>
                <c:manualLayout>
                  <c:x val="7.9657527471642731E-2"/>
                  <c:y val="1.213249100702609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54-41BE-9FCA-66B80C79D605}"/>
                </c:ext>
              </c:extLst>
            </c:dLbl>
            <c:dLbl>
              <c:idx val="1"/>
              <c:layout>
                <c:manualLayout>
                  <c:x val="0.15530788712760599"/>
                  <c:y val="-8.043562536865253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54-41BE-9FCA-66B80C79D605}"/>
                </c:ext>
              </c:extLst>
            </c:dLbl>
            <c:dLbl>
              <c:idx val="2"/>
              <c:layout>
                <c:manualLayout>
                  <c:x val="-2.8908196291414494E-2"/>
                  <c:y val="-1.2441312536991614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54-41BE-9FCA-66B80C79D605}"/>
                </c:ext>
              </c:extLst>
            </c:dLbl>
            <c:dLbl>
              <c:idx val="3"/>
              <c:layout>
                <c:manualLayout>
                  <c:x val="-3.5356853399460035E-2"/>
                  <c:y val="4.038890284454450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54-41BE-9FCA-66B80C79D605}"/>
                </c:ext>
              </c:extLst>
            </c:dLbl>
            <c:dLbl>
              <c:idx val="4"/>
              <c:layout>
                <c:manualLayout>
                  <c:x val="-1.7597263532242519E-2"/>
                  <c:y val="-4.819334350607964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54-41BE-9FCA-66B80C79D605}"/>
                </c:ext>
              </c:extLst>
            </c:dLbl>
            <c:dLbl>
              <c:idx val="5"/>
              <c:layout>
                <c:manualLayout>
                  <c:x val="-2.9411354255564681E-2"/>
                  <c:y val="-1.460887576327187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54-41BE-9FCA-66B80C79D605}"/>
                </c:ext>
              </c:extLst>
            </c:dLbl>
            <c:dLbl>
              <c:idx val="6"/>
              <c:layout>
                <c:manualLayout>
                  <c:x val="-3.7004576881877492E-2"/>
                  <c:y val="-3.206032482364066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4496056091148122E-2"/>
                      <c:h val="9.6285599768308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754-41BE-9FCA-66B80C79D605}"/>
                </c:ext>
              </c:extLst>
            </c:dLbl>
            <c:dLbl>
              <c:idx val="7"/>
              <c:layout>
                <c:manualLayout>
                  <c:x val="9.0026323396691976E-2"/>
                  <c:y val="9.8529736581805614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54-41BE-9FCA-66B80C79D60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'Figura 1.8-12'!$A$4:$A$11</c:f>
              <c:strCache>
                <c:ptCount val="8"/>
                <c:pt idx="0">
                  <c:v>CATALUÑA</c:v>
                </c:pt>
                <c:pt idx="1">
                  <c:v>NAVARRA</c:v>
                </c:pt>
                <c:pt idx="2">
                  <c:v>C.VALENCIANA</c:v>
                </c:pt>
                <c:pt idx="3">
                  <c:v>C.MADRID</c:v>
                </c:pt>
                <c:pt idx="4">
                  <c:v>CASTILLA LA MANCHA</c:v>
                </c:pt>
                <c:pt idx="5">
                  <c:v>P.VASCO</c:v>
                </c:pt>
                <c:pt idx="6">
                  <c:v>LA RIOJA</c:v>
                </c:pt>
                <c:pt idx="7">
                  <c:v>RESTO</c:v>
                </c:pt>
              </c:strCache>
            </c:strRef>
          </c:cat>
          <c:val>
            <c:numRef>
              <c:f>'Figura 1.8-12'!$B$4:$B$11</c:f>
              <c:numCache>
                <c:formatCode>_(* #,##0_);_(* \(#,##0\);_(* "-"??_);_(@_)</c:formatCode>
                <c:ptCount val="8"/>
                <c:pt idx="0">
                  <c:v>2533</c:v>
                </c:pt>
                <c:pt idx="1">
                  <c:v>1503</c:v>
                </c:pt>
                <c:pt idx="2">
                  <c:v>1391</c:v>
                </c:pt>
                <c:pt idx="3">
                  <c:v>504</c:v>
                </c:pt>
                <c:pt idx="4">
                  <c:v>487</c:v>
                </c:pt>
                <c:pt idx="5">
                  <c:v>333</c:v>
                </c:pt>
                <c:pt idx="6">
                  <c:v>266</c:v>
                </c:pt>
                <c:pt idx="7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54-41BE-9FCA-66B80C79D6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0999" r="0.75000000000000999" t="1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9525</xdr:rowOff>
    </xdr:from>
    <xdr:to>
      <xdr:col>5</xdr:col>
      <xdr:colOff>1562100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4D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1</xdr:row>
      <xdr:rowOff>190500</xdr:rowOff>
    </xdr:from>
    <xdr:to>
      <xdr:col>13</xdr:col>
      <xdr:colOff>76200</xdr:colOff>
      <xdr:row>21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92C520-A8ED-F00B-0B5A-681C3790F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28575</xdr:rowOff>
    </xdr:from>
    <xdr:to>
      <xdr:col>12</xdr:col>
      <xdr:colOff>640833</xdr:colOff>
      <xdr:row>20</xdr:row>
      <xdr:rowOff>156003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F8B355D-01D8-4A05-B486-A7EDA1FCA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654422</xdr:colOff>
      <xdr:row>22</xdr:row>
      <xdr:rowOff>145677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2F1D338-715D-41BA-88BE-5DA942FF7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12</xdr:col>
      <xdr:colOff>494178</xdr:colOff>
      <xdr:row>25</xdr:row>
      <xdr:rowOff>20729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80FFDC-933A-4BE4-B47C-6538BC8A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10</xdr:col>
      <xdr:colOff>14855</xdr:colOff>
      <xdr:row>26</xdr:row>
      <xdr:rowOff>154225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A5BDED-BF65-4862-9F8B-630A2967D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7</xdr:row>
      <xdr:rowOff>45720</xdr:rowOff>
    </xdr:from>
    <xdr:to>
      <xdr:col>28</xdr:col>
      <xdr:colOff>335280</xdr:colOff>
      <xdr:row>33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3C7EF6-CC50-4BA5-9C2A-E27B1185F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1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1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3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4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6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7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8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29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0.12637</cdr:x>
      <cdr:y>0.92613</cdr:y>
    </cdr:from>
    <cdr:to>
      <cdr:x>0.1375</cdr:x>
      <cdr:y>0.94373</cdr:y>
    </cdr:to>
    <cdr:sp macro="" textlink="">
      <cdr:nvSpPr>
        <cdr:cNvPr id="2153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775" y="3969730"/>
          <a:ext cx="97083" cy="833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0.17594</cdr:x>
      <cdr:y>0.89659</cdr:y>
    </cdr:from>
    <cdr:to>
      <cdr:x>0.19572</cdr:x>
      <cdr:y>0.90099</cdr:y>
    </cdr:to>
    <cdr:sp macro="" textlink="">
      <cdr:nvSpPr>
        <cdr:cNvPr id="21531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9245" y="3996751"/>
          <a:ext cx="204532" cy="196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32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34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35" name="Text Box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36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37" name="Text Box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38" name="Text Box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39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0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1" name="Text Box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2" name="Text Box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3" name="Text Box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4" name="Text Box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5" name="Text Box 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6" name="Text Box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7" name="Text Box 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8" name="Text Box 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49" name="Text Box 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0" name="Text Box 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1" name="Text Box 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2" name="Text Box 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3" name="Text Box 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4" name="Text Box 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5" name="Text Box 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6" name="Text Box 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7" name="Text Box 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8" name="Text Box 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59" name="Text Box 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60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61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62" name="Text Box 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63" name="Text Box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0.14369</cdr:x>
      <cdr:y>0.84789</cdr:y>
    </cdr:from>
    <cdr:to>
      <cdr:x>0.14369</cdr:x>
      <cdr:y>0.84789</cdr:y>
    </cdr:to>
    <cdr:sp macro="" textlink="">
      <cdr:nvSpPr>
        <cdr:cNvPr id="21564" name="Text Box 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108" y="359418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 type="non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653415</xdr:colOff>
      <xdr:row>20</xdr:row>
      <xdr:rowOff>185078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F296E5-F629-41C0-BCA4-5862AFC6E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5" displayName="Tabla35" ref="A3:J9" totalsRowCount="1" headerRowDxfId="95" dataDxfId="94" totalsRowDxfId="93" headerRowCellStyle="Millares" dataCellStyle="Millares" totalsRowCellStyle="Millares">
  <tableColumns count="10">
    <tableColumn id="2" xr3:uid="{00000000-0010-0000-0000-000002000000}" name="Tipo Terrenos cinegéticos" totalsRowLabel="Total" dataDxfId="92" totalsRowDxfId="91" dataCellStyle="Millares" totalsRowCellStyle="Millares"/>
    <tableColumn id="3" xr3:uid="{00000000-0010-0000-0000-000003000000}" name="Nº Huesca" totalsRowFunction="sum" dataDxfId="90" totalsRowDxfId="89" dataCellStyle="Millares" totalsRowCellStyle="Millares"/>
    <tableColumn id="4" xr3:uid="{00000000-0010-0000-0000-000004000000}" name="Superficie (ha) Huesca " totalsRowFunction="sum" dataDxfId="88" totalsRowDxfId="87" dataCellStyle="Millares" totalsRowCellStyle="Millares"/>
    <tableColumn id="5" xr3:uid="{00000000-0010-0000-0000-000005000000}" name="Nº Teruel" totalsRowFunction="sum" dataDxfId="86" totalsRowDxfId="85" dataCellStyle="Millares" totalsRowCellStyle="Millares"/>
    <tableColumn id="6" xr3:uid="{00000000-0010-0000-0000-000006000000}" name="Superficie (ha) Teruel" totalsRowFunction="sum" dataDxfId="84" totalsRowDxfId="83" dataCellStyle="Millares" totalsRowCellStyle="Millares"/>
    <tableColumn id="7" xr3:uid="{00000000-0010-0000-0000-000007000000}" name="Nº Zaragoza" totalsRowFunction="sum" dataDxfId="82" totalsRowDxfId="81" dataCellStyle="Millares" totalsRowCellStyle="Millares"/>
    <tableColumn id="8" xr3:uid="{00000000-0010-0000-0000-000008000000}" name="Superficie (ha) Zaragoza" totalsRowFunction="sum" dataDxfId="80" totalsRowDxfId="79" dataCellStyle="Millares" totalsRowCellStyle="Millares"/>
    <tableColumn id="9" xr3:uid="{00000000-0010-0000-0000-000009000000}" name="Nº Aragón" totalsRowFunction="sum" dataDxfId="78" totalsRowDxfId="77" dataCellStyle="Millares" totalsRowCellStyle="Millares"/>
    <tableColumn id="10" xr3:uid="{00000000-0010-0000-0000-00000A000000}" name="Superficie (ha) Aragón" totalsRowFunction="sum" dataDxfId="76" totalsRowDxfId="75" dataCellStyle="Millares" totalsRowCellStyle="Millares">
      <calculatedColumnFormula>C4+E4+G4</calculatedColumnFormula>
    </tableColumn>
    <tableColumn id="11" xr3:uid="{00000000-0010-0000-0000-00000B000000}" name="% superficie cinegética Aragón" totalsRowFunction="sum" dataDxfId="74" totalsRowDxfId="73" dataCellStyle="Porcentaje" totalsRowCellStyle="Millares">
      <calculatedColumnFormula>I4/Tabla35[[#Totals],[Superficie (ha) Aragón]]</calculatedColumnFormula>
    </tableColumn>
  </tableColumns>
  <tableStyleInfo name="Estilo de tabla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7230D80-A7C8-43CC-AD1B-12DEB7A7FB52}" name="Tabla10" displayName="Tabla10" ref="A3:D14" totalsRowCount="1">
  <autoFilter ref="A3:D13" xr:uid="{97230D80-A7C8-43CC-AD1B-12DEB7A7FB52}"/>
  <tableColumns count="4">
    <tableColumn id="1" xr3:uid="{C4DF9007-95A1-4239-B79F-A95BF9FD7BCA}" name="Provincia" totalsRowLabel="Total"/>
    <tableColumn id="2" xr3:uid="{D6ABFAA3-0B44-4C87-B5AC-EF349A88E76B}" name="Coto Social de caza"/>
    <tableColumn id="3" xr3:uid="{2C36D19E-B7D1-45DE-9172-9A1142A0112D}" name="Superficie (ha)" totalsRowFunction="sum"/>
    <tableColumn id="4" xr3:uid="{21B6877F-DD98-4C16-A6E8-5CC4C89C4BCC}" name="Aprovechamiento cinegético "/>
  </tableColumns>
  <tableStyleInfo name="Estilo de tabla 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6024C59-28DE-4E1F-BD02-72DA762A21D5}" name="Tabla11" displayName="Tabla11" ref="A3:C11" totalsRowCount="1">
  <autoFilter ref="A3:C10" xr:uid="{16024C59-28DE-4E1F-BD02-72DA762A21D5}"/>
  <tableColumns count="3">
    <tableColumn id="1" xr3:uid="{6EE5FC05-BBAC-4C5E-95BB-4A58EDC0C23E}" name="Tipo de caza " totalsRowLabel="Total"/>
    <tableColumn id="2" xr3:uid="{DB0AE85B-3E65-48F7-A789-D350EAADEDE8}" name="Especie"/>
    <tableColumn id="3" xr3:uid="{FD04DDD4-6FEF-4C2A-892E-128CB38CFC7B}" name="Piezas abatidas " totalsRowFunction="sum"/>
  </tableColumns>
  <tableStyleInfo name="Estilo de tabla 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C444A7C-E3D9-47D5-9C28-17ED91C6332F}" name="Tabla12" displayName="Tabla12" ref="A3:D26" totalsRowCount="1">
  <autoFilter ref="A3:D25" xr:uid="{7C444A7C-E3D9-47D5-9C28-17ED91C6332F}"/>
  <tableColumns count="4">
    <tableColumn id="1" xr3:uid="{B5639D5C-D79E-4CAA-8938-3BC028465C34}" name="Tipo de Caza" totalsRowLabel="Total"/>
    <tableColumn id="2" xr3:uid="{3A441927-596D-4F74-AA6A-B735CBCCF853}" name="Especie"/>
    <tableColumn id="3" xr3:uid="{3413BC9A-1898-408E-8E86-99BE8F46F796}" name="Piezas abatidas caza mayor" totalsRowFunction="sum" dataDxfId="37" totalsRowDxfId="36" dataCellStyle="Millares" totalsRowCellStyle="Millares"/>
    <tableColumn id="4" xr3:uid="{CB0A7CCB-4A77-4CE3-B406-06D5E68031DA}" name="Porcentaje sobre piezas de caza mayor" totalsRowFunction="sum">
      <calculatedColumnFormula>Tabla12[[#This Row],[Piezas abatidas caza mayor]]/Tabla12[[#Totals],[Piezas abatidas caza mayor]]</calculatedColumnFormula>
    </tableColumn>
  </tableColumns>
  <tableStyleInfo name="Estilo de tabla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ACDB4E3-392D-40AF-9F4F-1856C5D220F6}" name="Tabla13" displayName="Tabla13" ref="A3:E20" totalsRowCount="1">
  <autoFilter ref="A3:E19" xr:uid="{7ACDB4E3-392D-40AF-9F4F-1856C5D220F6}"/>
  <tableColumns count="5">
    <tableColumn id="1" xr3:uid="{72CDCF01-7B50-4D03-BA7F-2FBC747ACCB9}" name="Tipo de caza" totalsRowLabel="Total"/>
    <tableColumn id="2" xr3:uid="{0747D0B6-68F3-40DF-BFB0-E81C4D8C4AD1}" name="Especie"/>
    <tableColumn id="3" xr3:uid="{5CA2D592-D5EE-4C11-8EBD-7AA15EDB3911}" name="Cazados" totalsRowFunction="sum"/>
    <tableColumn id="4" xr3:uid="{3CD3C541-11AB-4B96-8BA7-33F1ACC2551B}" name="Enfermos / Muertos" totalsRowFunction="sum"/>
    <tableColumn id="5" xr3:uid="{5CCFBC45-5987-4CAF-9B86-8064ECC148DC}" name="Totales" totalsRowFunction="sum"/>
  </tableColumns>
  <tableStyleInfo name="Estilo de tabla 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EBBA70D-AD2E-482A-8B5A-1A163193F400}" name="Tabla14" displayName="Tabla14" ref="A3:I14" totalsRowCount="1" headerRowDxfId="35" dataDxfId="34" headerRowCellStyle="Millares" dataCellStyle="Millares">
  <autoFilter ref="A3:I13" xr:uid="{CEBBA70D-AD2E-482A-8B5A-1A163193F400}"/>
  <tableColumns count="9">
    <tableColumn id="1" xr3:uid="{5FCD5170-53B9-4BFD-94E3-3A22F96D99AF}" name="Clasificación de las aguas" totalsRowLabel="Total" dataDxfId="33" totalsRowDxfId="32" dataCellStyle="Millares"/>
    <tableColumn id="2" xr3:uid="{6DE9C010-1C77-4B7F-9E61-94CDEDF7167A}" name="Huesca Nº" dataDxfId="31" totalsRowDxfId="30" dataCellStyle="Millares"/>
    <tableColumn id="4" xr3:uid="{0E3BD617-320E-4FC3-B16E-28A09F6AEF5D}" name="Huesca Km" totalsRowFunction="sum" dataDxfId="29" totalsRowDxfId="28" dataCellStyle="Millares"/>
    <tableColumn id="6" xr3:uid="{D00F0B31-C7FA-455A-9DCF-4BE7BFA0F5B8}" name="Teruel Nº" dataDxfId="27" totalsRowDxfId="26" dataCellStyle="Millares"/>
    <tableColumn id="7" xr3:uid="{642BE743-2E60-4BE4-9C6D-19F304D27AA8}" name="Teruel Km" totalsRowFunction="sum" dataDxfId="25" totalsRowDxfId="24" dataCellStyle="Millares"/>
    <tableColumn id="8" xr3:uid="{9B401DD2-AF91-4A7E-A96F-FB17371D7480}" name="Zaragoza Nº" totalsRowFunction="sum" dataDxfId="23" totalsRowDxfId="22" dataCellStyle="Millares"/>
    <tableColumn id="9" xr3:uid="{90D0F92E-B65D-4F9B-9FE4-217F2EEEA669}" name="Zaragoza Km" totalsRowFunction="sum" dataDxfId="21" totalsRowDxfId="20" dataCellStyle="Millares"/>
    <tableColumn id="10" xr3:uid="{0BFF67B9-CDAA-4EE2-8EAA-F099C7C9F88D}" name="Aragón Nº" totalsRowFunction="sum" dataDxfId="19" totalsRowDxfId="18" dataCellStyle="Millares"/>
    <tableColumn id="11" xr3:uid="{79C62837-49B8-4FA1-B6B5-5368CB3513CD}" name="Aragón Km" totalsRowFunction="sum" dataDxfId="17" totalsRowDxfId="16" dataCellStyle="Millares"/>
  </tableColumns>
  <tableStyleInfo name="Estilo de tabla 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E26F305-545E-43C3-B50B-D3B148ABC4E0}" name="Tabla16" displayName="Tabla16" ref="A3:C12" totalsRowCount="1">
  <autoFilter ref="A3:C11" xr:uid="{9E26F305-545E-43C3-B50B-D3B148ABC4E0}"/>
  <tableColumns count="3">
    <tableColumn id="1" xr3:uid="{1EF381F9-6BDA-40D6-B0B9-844E583C4F21}" name="Clasificación de las aguas" totalsRowLabel="Total"/>
    <tableColumn id="2" xr3:uid="{31E9C6BF-2598-4952-9F14-7175472433BD}" name="nº " totalsRowFunction="sum" dataDxfId="15" totalsRowDxfId="14" dataCellStyle="Millares"/>
    <tableColumn id="3" xr3:uid="{204DF7D6-0585-4E3D-B51A-956D0B5FA1DE}" name="Km" totalsRowFunction="sum" totalsRowDxfId="13" dataCellStyle="Millares"/>
  </tableColumns>
  <tableStyleInfo name="Estilo de tabla 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E7A87E6-0845-44AE-8D85-BD1EEFA2D192}" name="Tabla17" displayName="Tabla17" ref="A3:C7" totalsRowCount="1" headerRowCellStyle="Millares" dataCellStyle="Millares">
  <autoFilter ref="A3:C6" xr:uid="{DE7A87E6-0845-44AE-8D85-BD1EEFA2D192}"/>
  <tableColumns count="3">
    <tableColumn id="1" xr3:uid="{0D6D9B82-E4F0-4508-925C-021AD56378BE}" name="Clasificación de las aguas" totalsRowLabel="Total" dataCellStyle="Millares" totalsRowCellStyle="Millares"/>
    <tableColumn id="2" xr3:uid="{3BF5BAE4-9F2B-43D3-8B7C-4961F199FA34}" name="nº " dataCellStyle="Millares" totalsRowCellStyle="Millares"/>
    <tableColumn id="3" xr3:uid="{2779EF6E-2583-4E3E-B60E-EF2A3F8DB5C8}" name="km" totalsRowFunction="sum" dataCellStyle="Millares" totalsRowCellStyle="Millares"/>
  </tableColumns>
  <tableStyleInfo name="Estilo de tabla 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BDA999D-53BD-4483-8536-5AF91B63AC8E}" name="Tabla18" displayName="Tabla18" ref="A3:C10" totalsRowCount="1">
  <autoFilter ref="A3:C9" xr:uid="{ABDA999D-53BD-4483-8536-5AF91B63AC8E}"/>
  <tableColumns count="3">
    <tableColumn id="1" xr3:uid="{84CDB291-291C-4238-A16C-58AD6DAFC162}" name="Clasificación de las aguas salmonícolas" totalsRowLabel="Total"/>
    <tableColumn id="2" xr3:uid="{119F9A17-D118-48F2-A782-12A47DBE5401}" name="nº" totalsRowDxfId="12" totalsRowCellStyle="Millares"/>
    <tableColumn id="3" xr3:uid="{8F8B8022-E7B0-4989-989B-CA247F601201}" name="km" totalsRowFunction="sum" totalsRowDxfId="11" totalsRowCellStyle="Millares"/>
  </tableColumns>
  <tableStyleInfo name="Estilo de tabla 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01C8AC6-0002-4034-ADBC-49A3A31284D5}" name="Tabla19" displayName="Tabla19" ref="A3:B7" totalsRowCount="1">
  <autoFilter ref="A3:B6" xr:uid="{201C8AC6-0002-4034-ADBC-49A3A31284D5}"/>
  <tableColumns count="2">
    <tableColumn id="1" xr3:uid="{973BDCAC-4D1C-47DA-BE64-7E74DE26A548}" name="Clasificación de las aguas Salmonícolas" totalsRowLabel="Total"/>
    <tableColumn id="3" xr3:uid="{52B13C41-18CB-46D4-97A5-C0173D50DCE5}" name="Km" totalsRowFunction="sum" dataCellStyle="Millares"/>
  </tableColumns>
  <tableStyleInfo name="Estilo de tabla 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A68436-0DB2-4650-9F8A-1CC5F031FCA8}" name="Tabla21" displayName="Tabla21" ref="A3:C23" totalsRowShown="0">
  <autoFilter ref="A3:C23" xr:uid="{E8A68436-0DB2-4650-9F8A-1CC5F031FCA8}"/>
  <tableColumns count="3">
    <tableColumn id="1" xr3:uid="{8E8F84B4-AE41-4EB0-AC1C-BCFADE707EB7}" name="Familia"/>
    <tableColumn id="2" xr3:uid="{77BDF966-9F27-4799-9C0F-12F7F76FA37D}" name="Especie"/>
    <tableColumn id="3" xr3:uid="{090DED5C-190B-4FE4-8EC2-63559CC3519A}" name="Nombre científico"/>
  </tableColumns>
  <tableStyleInfo name="Estilo de tabla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763047-FA0D-4DB3-BC41-8C3813A7136D}" name="Tabla2" displayName="Tabla2" ref="A3:J7" totalsRowCount="1">
  <autoFilter ref="A3:J6" xr:uid="{50763047-FA0D-4DB3-BC41-8C3813A7136D}"/>
  <tableColumns count="10">
    <tableColumn id="1" xr3:uid="{7F23DD77-1171-4101-94F9-2D75C1086881}" name="Tipo de terreno cinegético" totalsRowLabel="Total"/>
    <tableColumn id="2" xr3:uid="{18D852B8-5917-4B80-B047-D6F0FDACF792}" name="Tipo de coto"/>
    <tableColumn id="3" xr3:uid="{B1E17D2B-98DE-4E84-A6F5-0043049D80C8}" name="Número en Huesca" totalsRowFunction="sum"/>
    <tableColumn id="4" xr3:uid="{26EA5E2E-A3DD-4B43-9ED5-B557B6A0144E}" name="Superficie Huesca (ha)" totalsRowFunction="sum"/>
    <tableColumn id="5" xr3:uid="{6EC79A70-4B0E-48FD-8DC6-8A7939BE5A4F}" name="Número Teruel" totalsRowFunction="sum"/>
    <tableColumn id="6" xr3:uid="{257328F0-DBA8-4BA6-BF5A-0DAD4DC22FBE}" name="Superficie Teruel (ha)" totalsRowFunction="sum"/>
    <tableColumn id="7" xr3:uid="{C5E077E5-EB42-4AFA-B076-18A84A3D6918}" name="Número Zaragoza" totalsRowFunction="sum"/>
    <tableColumn id="8" xr3:uid="{432541CA-53B7-4BD1-988E-0DA58A543BD7}" name="Superficie Zaragoza (ha)" totalsRowFunction="sum"/>
    <tableColumn id="9" xr3:uid="{8283DB5C-CD07-461B-8157-8DD4DB4A3E7C}" name="Número Aragón" totalsRowFunction="sum"/>
    <tableColumn id="10" xr3:uid="{9F3A7052-295C-47BC-8497-64E2DCCBB6AB}" name="Superficie Aragón (ha)" totalsRowFunction="sum"/>
  </tableColumns>
  <tableStyleInfo name="Estilo de tabla 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BE0F603-A198-4E61-B417-5533A797D835}" name="Tabla22" displayName="Tabla22" ref="A3:D7" totalsRowCount="1">
  <autoFilter ref="A3:D6" xr:uid="{5BE0F603-A198-4E61-B417-5533A797D835}"/>
  <tableColumns count="4">
    <tableColumn id="1" xr3:uid="{FBA4ED19-257B-4BD0-9C65-3D51CE4AE3A9}" name="Tipo licencia" totalsRowLabel="Total"/>
    <tableColumn id="2" xr3:uid="{E1EC0BA3-D1C3-429D-AAE0-ACE7FABEBAF2}" name="Situación"/>
    <tableColumn id="3" xr3:uid="{5D5E93EC-793F-47F4-8D93-38F38CBDCEC2}" name="Número " totalsRowFunction="sum" dataDxfId="10" dataCellStyle="Millares"/>
    <tableColumn id="4" xr3:uid="{CFACE73A-670A-4074-AF6E-5C6FBBCE8020}" name="Importe" totalsRowFunction="sum" dataDxfId="9" dataCellStyle="Millares"/>
  </tableColumns>
  <tableStyleInfo name="Estilo de tabla 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78213F3-1858-4E77-B80C-456796C898BC}" name="Tabla23" displayName="Tabla23" ref="A3:C12" totalsRowCount="1">
  <autoFilter ref="A3:C11" xr:uid="{078213F3-1858-4E77-B80C-456796C898BC}"/>
  <tableColumns count="3">
    <tableColumn id="1" xr3:uid="{B64D6197-5A49-422C-BDF4-ED57A030FE0B}" name="CCAA" totalsRowLabel="Total"/>
    <tableColumn id="2" xr3:uid="{7C3FF666-9A73-4DF0-B814-6C7D1D0A9DAC}" name="nº pescadores" totalsRowFunction="sum" dataDxfId="8" totalsRowDxfId="7" dataCellStyle="Millares"/>
    <tableColumn id="3" xr3:uid="{D5D84A8A-DD7C-4468-8DAA-9B1A878C7F11}" name="%" totalsRowFunction="sum" dataDxfId="6" totalsRowDxfId="5" dataCellStyle="Porcentaje">
      <calculatedColumnFormula>Tabla23[[#This Row],[nº pescadores]]/Tabla23[[#Totals],[nº pescadores]]</calculatedColumnFormula>
    </tableColumn>
  </tableColumns>
  <tableStyleInfo name="Estilo de tabla 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792665E-1443-4E79-96F2-69848C12877C}" name="Tabla25" displayName="Tabla25" ref="A13:C23" totalsRowShown="0">
  <autoFilter ref="A13:C23" xr:uid="{F792665E-1443-4E79-96F2-69848C12877C}"/>
  <tableColumns count="3">
    <tableColumn id="1" xr3:uid="{8F45807B-1678-492F-9651-5AEADC28E04A}" name="Columna1"/>
    <tableColumn id="2" xr3:uid="{9F53AE90-3075-4BA5-AC6C-AE55B85839E9}" name="Columna2"/>
    <tableColumn id="3" xr3:uid="{94865F88-6A7F-4B63-B00B-23B0868C44B7}" name="Columna3" dataDxfId="4" dataCellStyle="Porcentaje">
      <calculatedColumnFormula>Tabla25[[#This Row],[Columna2]]/Tabla23[[#Totals],[nº pescadores]]</calculatedColumnFormula>
    </tableColumn>
  </tableColumns>
  <tableStyleInfo name="Estilo de tabla 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00F94DC-F243-4AC2-B8AD-BDB15E01EFA7}" name="Tabla26" displayName="Tabla26" ref="A3:C10" totalsRowCount="1">
  <autoFilter ref="A3:C9" xr:uid="{B00F94DC-F243-4AC2-B8AD-BDB15E01EFA7}"/>
  <tableColumns count="3">
    <tableColumn id="1" xr3:uid="{BED588B3-B0A6-4781-89B1-418D83916905}" name="Nacionalidad" totalsRowLabel="Total"/>
    <tableColumn id="2" xr3:uid="{02902201-A3E0-4C52-B0CB-FED54D2D8BA4}" name="Nº licencias" totalsRowFunction="sum" dataDxfId="3" totalsRowDxfId="2" dataCellStyle="Millares"/>
    <tableColumn id="3" xr3:uid="{4DC4E5C7-30ED-426F-8C3E-F1B99F84CD05}" name="% nº licencias" totalsRowFunction="sum" dataDxfId="1" dataCellStyle="Porcentaje">
      <calculatedColumnFormula>Tabla26[[#This Row],[Nº licencias]]/Tabla26[[#Totals],[Nº licencias]]</calculatedColumnFormula>
    </tableColumn>
  </tableColumns>
  <tableStyleInfo name="Estilo de tabla 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2426DF9-B2F7-48C5-B31A-9C599A3D00C1}" name="Tabla27" displayName="Tabla27" ref="A3:C10" totalsRowCount="1">
  <autoFilter ref="A3:C9" xr:uid="{F2426DF9-B2F7-48C5-B31A-9C599A3D00C1}"/>
  <tableColumns count="3">
    <tableColumn id="1" xr3:uid="{CBBF4B6A-EC5D-4AB3-9DE6-A69482E29D7D}" name="País de Residencia" totalsRowLabel="Total"/>
    <tableColumn id="2" xr3:uid="{2E6A5544-D7F6-41BC-86E6-9BCC7EBEB64F}" name="Nº licencias" totalsRowFunction="sum" dataDxfId="0" dataCellStyle="Millares"/>
    <tableColumn id="3" xr3:uid="{716F9A4D-0D16-4BED-BA77-35824CBB92A1}" name="% nº licencias" totalsRowFunction="sum" dataCellStyle="Porcentaje">
      <calculatedColumnFormula>Tabla27[[#This Row],[Nº licencias]]/Tabla27[[#Totals],[Nº licencias]]</calculatedColumnFormula>
    </tableColumn>
  </tableColumns>
  <tableStyleInfo name="Estilo de tabla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EBD0A6-96ED-479D-9F9B-4F02D1BEFFFF}" name="Tabla3" displayName="Tabla3" ref="H11:L15" totalsRowCount="1" dataDxfId="72" dataCellStyle="Porcentaje">
  <autoFilter ref="H11:L14" xr:uid="{44EBD0A6-96ED-479D-9F9B-4F02D1BEFFFF}"/>
  <tableColumns count="5">
    <tableColumn id="1" xr3:uid="{9AA7C4CA-72A3-4A3F-ABD2-8BCE02245910}" name="Columna1" totalsRowLabel="Total" dataDxfId="71" totalsRowDxfId="70"/>
    <tableColumn id="2" xr3:uid="{0D8165A9-30E7-437A-B605-8AF00DA6985D}" name="Huesca" totalsRowFunction="sum" dataDxfId="69" totalsRowDxfId="68" dataCellStyle="Porcentaje"/>
    <tableColumn id="3" xr3:uid="{9DF9A7D6-DF50-4AAD-BACF-8E8456D3CF53}" name="Teruel" totalsRowFunction="sum" dataDxfId="67" totalsRowDxfId="66" dataCellStyle="Porcentaje"/>
    <tableColumn id="4" xr3:uid="{7FCCED4E-4446-400C-89B1-C82AF9B9F253}" name="Zaragoza" totalsRowFunction="sum" dataDxfId="65" totalsRowDxfId="64" dataCellStyle="Porcentaje"/>
    <tableColumn id="5" xr3:uid="{9BF2EE5A-1F6B-43F4-8752-4C08A825476C}" name="Aragón" totalsRowFunction="sum" dataDxfId="63" totalsRowDxfId="62" dataCellStyle="Porcentaje" totalsRowCellStyle="Porcentaje"/>
  </tableColumns>
  <tableStyleInfo name="Estilo de tabla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43DEBB-9447-4E6F-A17E-FB0C69C9720D}" name="Tabla4" displayName="Tabla4" ref="A3:C7" totalsRowCount="1" headerRowDxfId="61" dataDxfId="60" totalsRowDxfId="59" headerRowCellStyle="Millares" dataCellStyle="Millares" totalsRowCellStyle="Millares">
  <autoFilter ref="A3:C6" xr:uid="{BA43DEBB-9447-4E6F-A17E-FB0C69C9720D}"/>
  <tableColumns count="3">
    <tableColumn id="1" xr3:uid="{D338FC97-70C7-4A06-A972-FDEE75C57C15}" name="Tipo licencia" totalsRowLabel="Total" dataDxfId="58" totalsRowDxfId="57" dataCellStyle="Millares" totalsRowCellStyle="Millares"/>
    <tableColumn id="2" xr3:uid="{BCFB431F-ABBF-4110-9847-6396CF3C350A}" name="Número" totalsRowFunction="sum" dataDxfId="56" totalsRowDxfId="55" dataCellStyle="Millares" totalsRowCellStyle="Millares"/>
    <tableColumn id="3" xr3:uid="{0B769EDF-1653-4A85-BC62-B0DA4B40B75F}" name="Importe" totalsRowFunction="sum" dataDxfId="54" totalsRowDxfId="53" dataCellStyle="Millares" totalsRowCellStyle="Millares"/>
  </tableColumns>
  <tableStyleInfo name="Estilo de tabla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DE11AF-DB1A-4015-9941-B626E052BB81}" name="Tabla5" displayName="Tabla5" ref="A3:C10" totalsRowCount="1">
  <autoFilter ref="A3:C9" xr:uid="{5DDE11AF-DB1A-4015-9941-B626E052BB81}"/>
  <tableColumns count="3">
    <tableColumn id="1" xr3:uid="{B5E043CA-3D6D-44F3-B47E-467384BDFDE2}" name="CCAA " totalsRowLabel="Total" dataDxfId="52" totalsRowDxfId="51" dataCellStyle="Millares"/>
    <tableColumn id="2" xr3:uid="{5A848E01-9798-480A-9EC2-3CEA948EA469}" name="Número" totalsRowFunction="sum" dataDxfId="50" totalsRowDxfId="49" dataCellStyle="Millares"/>
    <tableColumn id="3" xr3:uid="{AA9BD017-8B53-4B98-A08A-305B40D67E93}" name="%" totalsRowFunction="sum" dataDxfId="48" totalsRowDxfId="47" totalsRowCellStyle="Porcentaje">
      <calculatedColumnFormula>Tabla5[[#This Row],[Número]]/Tabla5[[#Totals],[Número]]</calculatedColumnFormula>
    </tableColumn>
  </tableColumns>
  <tableStyleInfo name="Estilo de tabla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9E6BB4-664D-412D-93D6-BDF423626425}" name="Tabla6" displayName="Tabla6" ref="A3:C11" totalsRowCount="1" headerRowCellStyle="Millares" dataCellStyle="Millares" totalsRowCellStyle="Millares">
  <autoFilter ref="A3:C10" xr:uid="{EC9E6BB4-664D-412D-93D6-BDF423626425}"/>
  <tableColumns count="3">
    <tableColumn id="1" xr3:uid="{9E5C43FE-4E32-4B6A-BCDA-25A5899EA02C}" name="Especie" totalsRowLabel="Total" totalsRowDxfId="46" dataCellStyle="Millares" totalsRowCellStyle="Millares"/>
    <tableColumn id="2" xr3:uid="{F438EADB-6018-4085-9D25-279884744EBE}" name="Piezas abatidas " totalsRowFunction="sum" dataDxfId="45" totalsRowDxfId="44" dataCellStyle="Millares" totalsRowCellStyle="Millares"/>
    <tableColumn id="3" xr3:uid="{40CED05A-A370-4B88-BF91-548723EA5C8D}" name="Porcentaje" totalsRowFunction="sum" dataDxfId="43" totalsRowDxfId="42" dataCellStyle="Porcentaje" totalsRowCellStyle="Porcentaje">
      <calculatedColumnFormula>Tabla6[[#This Row],[Piezas abatidas ]]/Tabla6[[#Totals],[Piezas abatidas ]]</calculatedColumnFormula>
    </tableColumn>
  </tableColumns>
  <tableStyleInfo name="Estilo de tabla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7A364E-8136-46FE-90B8-259C6B7B28BF}" name="Tabla7" displayName="Tabla7" ref="A3:C17" totalsRowCount="1">
  <autoFilter ref="A3:C16" xr:uid="{3A7A364E-8136-46FE-90B8-259C6B7B28BF}"/>
  <tableColumns count="3">
    <tableColumn id="1" xr3:uid="{7C8815D8-1101-4E50-BDE4-0D54E2F6E865}" name="Especie" totalsRowLabel="Total"/>
    <tableColumn id="2" xr3:uid="{C51DE75F-7B47-4EBB-ACBB-B5DB17809C51}" name="Piezas abatidas " totalsRowFunction="sum" totalsRowDxfId="41" dataCellStyle="Millares"/>
    <tableColumn id="3" xr3:uid="{C5037C8A-8530-4133-BD04-72A420010EC5}" name="Porcentaje" totalsRowFunction="sum" dataDxfId="40" dataCellStyle="Porcentaje">
      <calculatedColumnFormula>Tabla7[[#This Row],[Piezas abatidas ]]/Tabla7[[#Totals],[Piezas abatidas ]]</calculatedColumnFormula>
    </tableColumn>
  </tableColumns>
  <tableStyleInfo name="Estilo de tabla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08854D-046C-431E-A77E-1FDF42641E60}" name="Tabla8" displayName="Tabla8" ref="A3:D12" totalsRowCount="1">
  <autoFilter ref="A3:D11" xr:uid="{1608854D-046C-431E-A77E-1FDF42641E60}"/>
  <tableColumns count="4">
    <tableColumn id="1" xr3:uid="{D72DC3F8-5336-486E-B8DC-58FA2D212892}" name="Provincia" totalsRowLabel="Total"/>
    <tableColumn id="2" xr3:uid="{1A3D75EC-9A8A-47E9-B4C4-6E7BD772EF5C}" name="Nombre"/>
    <tableColumn id="3" xr3:uid="{5A226342-3C1A-4C16-8995-0F1120A1AA0C}" name="Superficie (ha)" totalsRowFunction="sum" dataDxfId="39" dataCellStyle="Millares"/>
    <tableColumn id="4" xr3:uid="{F1EEE775-7358-49A1-A045-337A0668572E}" name="Aprovechamiento (Especies cinegéticas)"/>
  </tableColumns>
  <tableStyleInfo name="Estilo de tabla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71A0832-5EF3-4547-9A1E-AC1DE29994D1}" name="Tabla9" displayName="Tabla9" ref="A3:C20" totalsRowCount="1">
  <autoFilter ref="A3:C19" xr:uid="{271A0832-5EF3-4547-9A1E-AC1DE29994D1}"/>
  <tableColumns count="3">
    <tableColumn id="1" xr3:uid="{26787520-12FF-4991-B0E6-B1ADED78B986}" name="Tipo de caza" totalsRowLabel="Total"/>
    <tableColumn id="2" xr3:uid="{74E24A66-A453-414C-AC6B-FE63F68739C1}" name="Especie"/>
    <tableColumn id="3" xr3:uid="{1A6CF488-F1BE-4B0C-A4C3-07F45726C9DA}" name="Piezas abatidas " totalsRowFunction="sum" dataDxfId="38" dataCellStyle="Millares" totalsRowCellStyle="Millares"/>
  </tableColumns>
  <tableStyleInfo name="Estilo de tabla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Relationship Id="rId4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9703-A3F3-4307-98C4-081AC2F34DD1}">
  <sheetPr>
    <tabColor rgb="FF00689D"/>
  </sheetPr>
  <dimension ref="A1:B24"/>
  <sheetViews>
    <sheetView tabSelected="1" zoomScale="82" zoomScaleNormal="82" workbookViewId="0">
      <selection activeCell="B37" sqref="B37"/>
    </sheetView>
  </sheetViews>
  <sheetFormatPr baseColWidth="10" defaultRowHeight="16.5" x14ac:dyDescent="0.3"/>
  <cols>
    <col min="1" max="1" width="143.75" bestFit="1" customWidth="1"/>
    <col min="2" max="2" width="164" bestFit="1" customWidth="1"/>
  </cols>
  <sheetData>
    <row r="1" spans="1:2" x14ac:dyDescent="0.3">
      <c r="A1" s="31" t="s">
        <v>320</v>
      </c>
      <c r="B1" s="31" t="s">
        <v>321</v>
      </c>
    </row>
    <row r="2" spans="1:2" x14ac:dyDescent="0.3">
      <c r="A2" s="32" t="str">
        <f>'Tabla 1.8-1'!_Ref213146757</f>
        <v>Tabla 1.8‑1: Distribución de los terrenos cinegéticos en Aragón 2022</v>
      </c>
      <c r="B2" t="str">
        <f>'Tabla 1.8-1'!A2</f>
        <v>Fuente: Dirección General de Calidad y Seguridad Alimentaria e Instituto Aragonés de Gestión Ambiental (INAGA). Datos actualizados a enero de 2023.</v>
      </c>
    </row>
    <row r="3" spans="1:2" x14ac:dyDescent="0.3">
      <c r="A3" s="32" t="str">
        <f>'Figura 1.8-1'!A1</f>
        <v>Figura  1.8‑1: Distribución por provincias de los terrenos cinegéticos no administrados por el Gobierno de Aragón en la temporada 2021-2022.</v>
      </c>
      <c r="B3">
        <f>'Figura 1.8-1'!A2</f>
        <v>0</v>
      </c>
    </row>
    <row r="4" spans="1:2" x14ac:dyDescent="0.3">
      <c r="A4" s="32" t="str">
        <f>'Tabla 1.8-2'!A1</f>
        <v>Tabla 1.8‑2: Número de licencias de caza por tipo. Año 2022</v>
      </c>
      <c r="B4" t="str">
        <f>'Tabla 1.8-2'!A2</f>
        <v>Fuente: Instituto Aragonés de Gestión Ambiental (INAGA)</v>
      </c>
    </row>
    <row r="5" spans="1:2" x14ac:dyDescent="0.3">
      <c r="A5" s="32" t="str">
        <f>'Figura 1.8-3'!_Toc216182424</f>
        <v xml:space="preserve">Figura  1.8‑3: Origen de los cazadores con licencia autonómica de Aragón proveniente de otra CCAA en 2022. </v>
      </c>
      <c r="B5" t="str">
        <f>'Tabla 1.8-3'!A2</f>
        <v>Fuente: Instituto Aragonés de Gestión Ambiental (INAGA). Datos obtenidos en septiembre de 2023</v>
      </c>
    </row>
    <row r="6" spans="1:2" x14ac:dyDescent="0.3">
      <c r="A6" s="32" t="str">
        <f>'Tabla 1.8-3'!_Ref213854375</f>
        <v>Tabla 1.8‑3: Número de piezas abatidas de caza mayor en terrenos cinegéticos no administrados por el Gobierno de Aragón durante la temporada cinegética 2021-2022</v>
      </c>
      <c r="B6" t="str">
        <f>'Tabla 1.8-3'!A2</f>
        <v>Fuente: Instituto Aragonés de Gestión Ambiental (INAGA). Datos obtenidos en septiembre de 2023</v>
      </c>
    </row>
    <row r="7" spans="1:2" x14ac:dyDescent="0.3">
      <c r="A7" s="32" t="str">
        <f>'Tabla 1.8-4'!_Ref213854391</f>
        <v>Tabla 1.8‑4: Número de piezas abatidas de caza menor en terrenos cinegéticos no administrados po el Gobierno de Aragón durante la temporada cinegética 2021-2022</v>
      </c>
      <c r="B7" t="str">
        <f>'Tabla 1.8-4'!A2</f>
        <v>Fuente: Instituto Aragonés de Gestión Ambiental (INAGA). Datos obtenidos en septiembre de 2023</v>
      </c>
    </row>
    <row r="8" spans="1:2" x14ac:dyDescent="0.3">
      <c r="A8" s="32" t="str">
        <f>'Tabla 1.8-5'!_Toc216182633</f>
        <v>Tabla 1.8‑5: Reservas de caza gestionadas por la administración en Aragón. Temporada 2021-2022</v>
      </c>
      <c r="B8" t="str">
        <f>'Tabla 1.8-5'!A2</f>
        <v>Fuente: Dirección General de Calidad y Seguridad Alimentaria. Planes anuales de aprovechamientos cinegéticos para la temporada de caza 2021-2022. Datos actualizados a septiembre de 2023</v>
      </c>
    </row>
    <row r="9" spans="1:2" x14ac:dyDescent="0.3">
      <c r="A9" s="32" t="str">
        <f>'Tabla 1.8-6'!_Toc216182634</f>
        <v>Tabla 1.8‑6: Número de piezas abatidas en las reservas de caza</v>
      </c>
      <c r="B9" t="str">
        <f>'Tabla 1.8-6'!A2</f>
        <v>Fuente: Dirección General de Calidad y Seguridad Alimentaria. Datos actualizados a septiembre de 2023.</v>
      </c>
    </row>
    <row r="10" spans="1:2" x14ac:dyDescent="0.3">
      <c r="A10" s="32" t="str">
        <f>'Tabla 1.8-7'!_Toc216182635</f>
        <v>Tabla 1.8‑7: Cotos sociales de Aragón. Temporada 2021-2022</v>
      </c>
      <c r="B10" t="str">
        <f>'Tabla 1.8-7'!A2</f>
        <v>Fuente: Dirección General de Calidad y Seguridad Alimentaria. Planes anuales de aprovechamientos cinegéticos para la temporada de caza 2021-2022. Datos actualizados a septiembre de 2023</v>
      </c>
    </row>
    <row r="11" spans="1:2" x14ac:dyDescent="0.3">
      <c r="A11" s="32" t="str">
        <f>'Tabla 1.8-8'!_Toc216182636</f>
        <v>Tabla 1.8‑8: Número de piezas abatidas en los cotos sociales de caza. Temporada 2021-2022</v>
      </c>
      <c r="B11" t="str">
        <f>'Tabla 1.8-8'!A2</f>
        <v>Fuente: Dirección General de Calidad y Seguridad Alimentaria. Datos actualizados a septiembre de 2023.</v>
      </c>
    </row>
    <row r="12" spans="1:2" x14ac:dyDescent="0.3">
      <c r="A12" s="32" t="str">
        <f>'Tabla 1.8-9'!_Toc216182637</f>
        <v>Tabla 1.8‑9: Número de piezas abatidas en la totalidad de los terrenos cinegéticos de Aragón. 2021-2022</v>
      </c>
      <c r="B12" t="str">
        <f>'Tabla 1.8-9'!A2</f>
        <v>Fuente: DG de Calidad y Seguridad Alimentaria e INAGA. Datos actualizados a septiembre de 2023</v>
      </c>
    </row>
    <row r="13" spans="1:2" x14ac:dyDescent="0.3">
      <c r="A13" s="32" t="str">
        <f>'Tabla 1.8-10'!_Toc216182638</f>
        <v>Tabla 1.8‑10: Seguimiento sanitario de la fauna cinegética. Año 2022</v>
      </c>
      <c r="B13" t="str">
        <f>'Tabla 1.8-10'!A2</f>
        <v>Fuente: Facultad de Veterinaria. Universidad de Zaragoza y Dirección General de Calidad y Seguridad Alimentaria. Actualizando a septiembre de 2023.</v>
      </c>
    </row>
    <row r="14" spans="1:2" x14ac:dyDescent="0.3">
      <c r="A14" s="32" t="str">
        <f>'Tabla 1.8-11'!_Toc216182639</f>
        <v>Tabla 1.8‑11: Clasificación de las aguas de acuerdo con su aprovechamiento de la pesca en Aragón. Año 2022*</v>
      </c>
      <c r="B14" t="str">
        <f>'Tabla 1.8-11'!A2</f>
        <v>Fuente: Dirección General de Calidad y Seguridad Alimentaria. Datos actualizados a septiembre de 2023.</v>
      </c>
    </row>
    <row r="15" spans="1:2" x14ac:dyDescent="0.3">
      <c r="A15" s="32" t="str">
        <f>'Figura 1.8-7'!_Toc216182428</f>
        <v>Figura  1.8‑7: Distribución de las masas de agua según su gestión en Aragón. Año 2022</v>
      </c>
      <c r="B15" t="str">
        <f>'Figura 1.8-7'!A2</f>
        <v>Fuente: Dirección General de Calidad y Seguridad Alimentaria. Datos obtenidos a septiembre de 2023</v>
      </c>
    </row>
    <row r="16" spans="1:2" x14ac:dyDescent="0.3">
      <c r="A16" s="32" t="str">
        <f>'Figura 1.8-8'!_Toc216182429</f>
        <v>Figura  1.8‑8: Distribución de las masas de agua en Aragón según modalidad de pesca. Año 2022</v>
      </c>
      <c r="B16" t="str">
        <f>'Figura 1.8-8'!A2</f>
        <v>Fuente: Dirección General de Calidad y Seguridad Alimentaria. Datos obtenidos a septiembre de 2023</v>
      </c>
    </row>
    <row r="17" spans="1:2" x14ac:dyDescent="0.3">
      <c r="A17" s="32" t="str">
        <f>'Figura 1.8-9'!_Toc216182430</f>
        <v>Figura  1.8‑9: Distribución de las masas de agua en Aragón según su gestión en las aguas declaradas habitadas por la trucha. Año 2022.</v>
      </c>
      <c r="B17" t="str">
        <f>'Figura 1.8-9'!A2</f>
        <v>Fuente: Dirección General de Calidad y Seguridad Alimentaria. Datos obtenidos a septiembre de 2023.</v>
      </c>
    </row>
    <row r="18" spans="1:2" x14ac:dyDescent="0.3">
      <c r="A18" s="32" t="str">
        <f>'Figura 1.8-10'!_Toc216182431</f>
        <v>Figura  1.8‑10: Distribución de las masas de agua en Aragón según modalidad de pesca en las aguas declaradas habitadas por la trucha. Año 2022</v>
      </c>
      <c r="B18" t="str">
        <f>'Figura 1.8-10'!A2</f>
        <v>Fuente: Dirección General de Calidad y Seguridad Alimentaria. Datos obtenidos a septiembre de 2023</v>
      </c>
    </row>
    <row r="19" spans="1:2" x14ac:dyDescent="0.3">
      <c r="A19" s="32" t="str">
        <f>'Figura 1.8-11'!_Toc216182432</f>
        <v>Figura  1.8‑11: Evolución de la gestión de la pesca en las aguas habilitadas por la trucha (km de río) entro los años 2008-2022</v>
      </c>
      <c r="B19" t="str">
        <f>'Figura 1.8-11'!A2</f>
        <v>Fuente: Dirección General de Calidad y Seguridad Alimentaria.</v>
      </c>
    </row>
    <row r="20" spans="1:2" x14ac:dyDescent="0.3">
      <c r="A20" s="32" t="str">
        <f>'Tabla 1.8-12'!_Toc216182640</f>
        <v>Tabla 1.8‑12: Especies declaradas en Aragón objeto de pesca en el año 2022</v>
      </c>
      <c r="B20" t="str">
        <f>'Tabla 1.8-12'!A2</f>
        <v>Fuente: Dirección General de Calidad y Seguridad Alimentaria</v>
      </c>
    </row>
    <row r="21" spans="1:2" x14ac:dyDescent="0.3">
      <c r="A21" s="32" t="str">
        <f>'Tabla 1.8-13'!_Toc216182641</f>
        <v>Tabla 1.8‑13: Número de licencias de pesca por tipo. Año 2022</v>
      </c>
      <c r="B21" t="str">
        <f>'Tabla 1.8-13'!A2</f>
        <v>Fuente: Instituto Aragonés de Gestión Ambiental (INAGA). Datos actualizados a septiembre de 2023.</v>
      </c>
    </row>
    <row r="22" spans="1:2" x14ac:dyDescent="0.3">
      <c r="A22" s="32" t="str">
        <f>'Figura 1.8-12'!_Toc216182433</f>
        <v>Figura  1.8‑12: Origen de los pescadores con licencia autonómica de Aragón procedentes de otras CCAA. Año 2022</v>
      </c>
      <c r="B22" t="str">
        <f>'Figura 1.8-12'!A2</f>
        <v xml:space="preserve">Fuente: Dirección General de Calidad y Seguridad Alimentaria e Instituto Aragonés de Gestión Ambiental (INAGA). </v>
      </c>
    </row>
    <row r="23" spans="1:2" x14ac:dyDescent="0.3">
      <c r="A23" s="32" t="str">
        <f>'Tabla 1.8-14'!_Toc216182642</f>
        <v>Tabla 1.8‑14: Nacionalidad de los pescadores en Aragón. Año 2022</v>
      </c>
      <c r="B23" t="str">
        <f>'Tabla 1.8-14'!A2</f>
        <v>Fuente: Dirección General de Calidad y Seguridad Alimentaria e Instituto Aragonés de Gestión Ambiental (INAGA). Datos actualizados a septiembre de 2023</v>
      </c>
    </row>
    <row r="24" spans="1:2" x14ac:dyDescent="0.3">
      <c r="A24" s="32" t="str">
        <f>'Tabla 1.8-15'!_Toc216182643</f>
        <v>Tabla 1.8‑15: País de residencia de los pescadores en Aragón. Año 2022</v>
      </c>
      <c r="B24" t="str">
        <f>'Tabla 1.8-15'!A2</f>
        <v>Fuente: Dirección General de Calidad y Seguridad Alimentaria e Instituto Aragonés de Gestión Ambiental (INAGA). Datos actualizados a septiembre de 2023</v>
      </c>
    </row>
  </sheetData>
  <hyperlinks>
    <hyperlink ref="A2" location="'Tabla 1.8-1'!_Ref213146757" display="'Tabla 1.8-1'!_Ref213146757" xr:uid="{B08BBAAA-7B9A-43C3-A824-0EB2E2778DB6}"/>
    <hyperlink ref="A3" location="'Figura 1.8-1'!A1" display="'Figura 1.8-1'!A1" xr:uid="{21DDF599-3BAB-437C-A754-C610039D6E08}"/>
    <hyperlink ref="A4" location="'Tabla 1.8-2'!A1" display="'Tabla 1.8-2'!A1" xr:uid="{BC7E3567-C1BA-42AA-8DD8-1B9C048E584C}"/>
    <hyperlink ref="A5" location="'Figura 1.8-3'!A1" display="'Figura 1.8-3'!A1" xr:uid="{E2838BA8-D5B7-4BD7-B4DE-A7CA918F8391}"/>
    <hyperlink ref="A6" location="'Tabla 1.8-3'!A1" display="'Tabla 1.8-3'!A1" xr:uid="{B7B7DA42-5482-4B86-B1F1-21A1DB6925EE}"/>
    <hyperlink ref="A7" location="'Tabla 1.8-4'!A1" display="'Tabla 1.8-4'!A1" xr:uid="{4B4070E5-F562-4477-9DE6-5A9B1C228C7A}"/>
    <hyperlink ref="A8" location="'Tabla 1.8-5'!A1" display="'Tabla 1.8-5'!A1" xr:uid="{73F1C6F6-B208-454B-9E4C-6A9DC70F3A2A}"/>
    <hyperlink ref="A9" location="'Tabla 1.8-6'!A1" display="'Tabla 1.8-6'!A1" xr:uid="{B14AFB2A-24E1-4467-B785-0C156F43AF6A}"/>
    <hyperlink ref="A10" location="'Tabla 1.8-7'!A1" display="'Tabla 1.8-7'!A1" xr:uid="{BCB495E1-10FB-48F9-B48B-23ED78D1A5D5}"/>
    <hyperlink ref="A11" location="'Tabla 1.8-8'!A1" display="'Tabla 1.8-8'!A1" xr:uid="{E4A53D7D-081A-4C6D-98DB-C58844DFB11D}"/>
    <hyperlink ref="A12" location="'Tabla 1.8-9'!A1" display="'Tabla 1.8-9'!A1" xr:uid="{61104CCA-4330-48FD-A651-4AB9FEE8A58A}"/>
    <hyperlink ref="A13" location="'Tabla 1.8-10'!A1" display="'Tabla 1.8-10'!A1" xr:uid="{98742FE5-59FD-4170-834F-D2AF5EAD3D14}"/>
    <hyperlink ref="A14" location="'Tabla 1.8-11'!A1" display="'Tabla 1.8-11'!A1" xr:uid="{BAD14EDB-558C-4539-9B22-A14BF40F67AF}"/>
    <hyperlink ref="A15" location="'Figura 1.8-7'!A1" display="'Figura 1.8-7'!A1" xr:uid="{B5781D18-D9ED-44C9-94BF-CC6C6F5702A2}"/>
    <hyperlink ref="A16" location="'Figura 1.8-8'!A1" display="'Figura 1.8-8'!A1" xr:uid="{911F3898-D710-4F57-B7DE-CF5CFD47A6EC}"/>
    <hyperlink ref="A17" location="'Figura 1.8-9'!A1" display="'Figura 1.8-9'!A1" xr:uid="{E1B50F2F-DA3E-44AA-BE34-D415C1376E04}"/>
    <hyperlink ref="A18" location="'Figura 1.8-10'!A1" display="'Figura 1.8-10'!A1" xr:uid="{863A7B9C-AD83-47B3-9338-84360ECEE30F}"/>
    <hyperlink ref="A19" location="'Figura 1.8-11'!A1" display="'Figura 1.8-11'!A1" xr:uid="{020DF388-1471-4C51-82DE-199375D723A3}"/>
    <hyperlink ref="A20" location="'Tabla 1.8-12'!_Toc216182640" display="'Tabla 1.8-12'!_Toc216182640" xr:uid="{195CAD83-BB24-4158-AEA3-6F04119D374A}"/>
    <hyperlink ref="A21" location="'Tabla 1.8-13'!A1" display="'Tabla 1.8-13'!A1" xr:uid="{57766BD3-8928-40F5-8845-2ED0DF01D608}"/>
    <hyperlink ref="A22" location="'Figura 1.8-12'!A1" display="'Figura 1.8-12'!A1" xr:uid="{5A2B2F1F-B762-40AD-B9BB-F72580AC1376}"/>
    <hyperlink ref="A23" location="'Tabla 1.8-14'!A1" display="'Tabla 1.8-14'!A1" xr:uid="{5780D76F-2FFD-436A-9ED4-FAE92B3B8907}"/>
    <hyperlink ref="A24" location="'Tabla 1.8-15'!A1" display="'Tabla 1.8-15'!A1" xr:uid="{B654BD09-8484-41CE-9AF0-DB14DC83065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6C75-29E1-4030-B6CD-B8A3FC91D55B}">
  <sheetPr>
    <tabColor rgb="FF00689D"/>
  </sheetPr>
  <dimension ref="A1:D14"/>
  <sheetViews>
    <sheetView workbookViewId="0">
      <selection activeCell="D26" sqref="D26"/>
    </sheetView>
  </sheetViews>
  <sheetFormatPr baseColWidth="10" defaultRowHeight="16.5" x14ac:dyDescent="0.3"/>
  <cols>
    <col min="2" max="2" width="19.125" customWidth="1"/>
    <col min="3" max="3" width="14.75" customWidth="1"/>
    <col min="4" max="4" width="27.125" customWidth="1"/>
  </cols>
  <sheetData>
    <row r="1" spans="1:4" x14ac:dyDescent="0.3">
      <c r="A1" s="1" t="s">
        <v>134</v>
      </c>
    </row>
    <row r="2" spans="1:4" x14ac:dyDescent="0.3">
      <c r="A2" s="1" t="s">
        <v>103</v>
      </c>
    </row>
    <row r="3" spans="1:4" x14ac:dyDescent="0.3">
      <c r="A3" t="s">
        <v>87</v>
      </c>
      <c r="B3" t="s">
        <v>117</v>
      </c>
      <c r="C3" t="s">
        <v>24</v>
      </c>
      <c r="D3" t="s">
        <v>118</v>
      </c>
    </row>
    <row r="4" spans="1:4" x14ac:dyDescent="0.3">
      <c r="A4" t="s">
        <v>19</v>
      </c>
      <c r="B4" t="s">
        <v>119</v>
      </c>
      <c r="C4">
        <v>2150</v>
      </c>
      <c r="D4" t="s">
        <v>120</v>
      </c>
    </row>
    <row r="5" spans="1:4" x14ac:dyDescent="0.3">
      <c r="A5" t="s">
        <v>19</v>
      </c>
      <c r="B5" t="s">
        <v>121</v>
      </c>
      <c r="C5">
        <v>1351</v>
      </c>
      <c r="D5" t="s">
        <v>122</v>
      </c>
    </row>
    <row r="6" spans="1:4" x14ac:dyDescent="0.3">
      <c r="A6" t="s">
        <v>17</v>
      </c>
      <c r="B6" t="s">
        <v>123</v>
      </c>
      <c r="C6">
        <v>6327</v>
      </c>
      <c r="D6" t="s">
        <v>124</v>
      </c>
    </row>
    <row r="7" spans="1:4" x14ac:dyDescent="0.3">
      <c r="A7" t="s">
        <v>17</v>
      </c>
      <c r="B7" t="s">
        <v>125</v>
      </c>
      <c r="C7">
        <v>1633</v>
      </c>
      <c r="D7" t="s">
        <v>124</v>
      </c>
    </row>
    <row r="8" spans="1:4" x14ac:dyDescent="0.3">
      <c r="A8" t="s">
        <v>17</v>
      </c>
      <c r="B8" t="s">
        <v>126</v>
      </c>
      <c r="C8">
        <v>1039</v>
      </c>
      <c r="D8" t="s">
        <v>120</v>
      </c>
    </row>
    <row r="9" spans="1:4" x14ac:dyDescent="0.3">
      <c r="A9" t="s">
        <v>17</v>
      </c>
      <c r="B9" t="s">
        <v>127</v>
      </c>
      <c r="C9">
        <v>1895</v>
      </c>
      <c r="D9" t="s">
        <v>124</v>
      </c>
    </row>
    <row r="10" spans="1:4" x14ac:dyDescent="0.3">
      <c r="A10" t="s">
        <v>17</v>
      </c>
      <c r="B10" t="s">
        <v>128</v>
      </c>
      <c r="C10">
        <v>3307</v>
      </c>
      <c r="D10" t="s">
        <v>120</v>
      </c>
    </row>
    <row r="11" spans="1:4" x14ac:dyDescent="0.3">
      <c r="A11" t="s">
        <v>17</v>
      </c>
      <c r="B11" t="s">
        <v>129</v>
      </c>
      <c r="C11">
        <v>8892</v>
      </c>
      <c r="D11" t="s">
        <v>124</v>
      </c>
    </row>
    <row r="12" spans="1:4" x14ac:dyDescent="0.3">
      <c r="A12" t="s">
        <v>17</v>
      </c>
      <c r="B12" t="s">
        <v>130</v>
      </c>
      <c r="C12">
        <v>928</v>
      </c>
      <c r="D12" t="s">
        <v>131</v>
      </c>
    </row>
    <row r="13" spans="1:4" x14ac:dyDescent="0.3">
      <c r="A13" t="s">
        <v>18</v>
      </c>
      <c r="B13" t="s">
        <v>132</v>
      </c>
      <c r="C13">
        <v>2287</v>
      </c>
      <c r="D13" t="s">
        <v>133</v>
      </c>
    </row>
    <row r="14" spans="1:4" x14ac:dyDescent="0.3">
      <c r="A14" t="s">
        <v>14</v>
      </c>
      <c r="C14">
        <f>SUBTOTAL(109,Tabla10[Superficie (ha)])</f>
        <v>29809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BBA5-0A6B-46CF-8FEC-3E0BC86F4478}">
  <sheetPr>
    <tabColor rgb="FF00689D"/>
  </sheetPr>
  <dimension ref="A1:C11"/>
  <sheetViews>
    <sheetView workbookViewId="0">
      <selection activeCell="D24" sqref="D24"/>
    </sheetView>
  </sheetViews>
  <sheetFormatPr baseColWidth="10" defaultRowHeight="16.5" x14ac:dyDescent="0.3"/>
  <cols>
    <col min="1" max="1" width="13.875" customWidth="1"/>
    <col min="2" max="2" width="26" bestFit="1" customWidth="1"/>
    <col min="3" max="3" width="16" customWidth="1"/>
  </cols>
  <sheetData>
    <row r="1" spans="1:3" x14ac:dyDescent="0.3">
      <c r="A1" s="1" t="s">
        <v>140</v>
      </c>
    </row>
    <row r="2" spans="1:3" x14ac:dyDescent="0.3">
      <c r="A2" s="1" t="s">
        <v>116</v>
      </c>
    </row>
    <row r="3" spans="1:3" x14ac:dyDescent="0.3">
      <c r="A3" t="s">
        <v>135</v>
      </c>
      <c r="B3" t="s">
        <v>64</v>
      </c>
      <c r="C3" t="s">
        <v>65</v>
      </c>
    </row>
    <row r="4" spans="1:3" x14ac:dyDescent="0.3">
      <c r="A4" t="s">
        <v>136</v>
      </c>
      <c r="B4" t="s">
        <v>66</v>
      </c>
      <c r="C4">
        <v>173</v>
      </c>
    </row>
    <row r="5" spans="1:3" x14ac:dyDescent="0.3">
      <c r="A5" t="s">
        <v>136</v>
      </c>
      <c r="B5" t="s">
        <v>137</v>
      </c>
      <c r="C5">
        <v>20</v>
      </c>
    </row>
    <row r="6" spans="1:3" x14ac:dyDescent="0.3">
      <c r="A6" t="s">
        <v>136</v>
      </c>
      <c r="B6" t="s">
        <v>138</v>
      </c>
      <c r="C6">
        <v>5</v>
      </c>
    </row>
    <row r="7" spans="1:3" x14ac:dyDescent="0.3">
      <c r="A7" t="s">
        <v>136</v>
      </c>
      <c r="B7" t="s">
        <v>69</v>
      </c>
      <c r="C7">
        <v>6</v>
      </c>
    </row>
    <row r="8" spans="1:3" x14ac:dyDescent="0.3">
      <c r="A8" t="s">
        <v>109</v>
      </c>
      <c r="B8" t="s">
        <v>83</v>
      </c>
      <c r="C8">
        <v>49</v>
      </c>
    </row>
    <row r="9" spans="1:3" x14ac:dyDescent="0.3">
      <c r="A9" t="s">
        <v>109</v>
      </c>
      <c r="B9" t="s">
        <v>139</v>
      </c>
      <c r="C9">
        <v>0</v>
      </c>
    </row>
    <row r="10" spans="1:3" x14ac:dyDescent="0.3">
      <c r="A10" t="s">
        <v>109</v>
      </c>
      <c r="B10" t="s">
        <v>78</v>
      </c>
      <c r="C10">
        <v>0</v>
      </c>
    </row>
    <row r="11" spans="1:3" x14ac:dyDescent="0.3">
      <c r="A11" t="s">
        <v>14</v>
      </c>
      <c r="C11">
        <f>SUBTOTAL(109,Tabla11[[Piezas abatidas ]])</f>
        <v>253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369D-0AC1-4F2A-89BB-8E7A291C4599}">
  <sheetPr>
    <tabColor rgb="FF00689D"/>
  </sheetPr>
  <dimension ref="A1:D26"/>
  <sheetViews>
    <sheetView workbookViewId="0">
      <selection activeCell="D30" sqref="D30"/>
    </sheetView>
  </sheetViews>
  <sheetFormatPr baseColWidth="10" defaultRowHeight="16.5" x14ac:dyDescent="0.3"/>
  <cols>
    <col min="1" max="1" width="13.625" customWidth="1"/>
    <col min="2" max="2" width="26" bestFit="1" customWidth="1"/>
    <col min="3" max="3" width="25.5" customWidth="1"/>
    <col min="4" max="4" width="35" customWidth="1"/>
  </cols>
  <sheetData>
    <row r="1" spans="1:4" x14ac:dyDescent="0.3">
      <c r="A1" s="1" t="s">
        <v>155</v>
      </c>
    </row>
    <row r="2" spans="1:4" x14ac:dyDescent="0.3">
      <c r="A2" s="1" t="s">
        <v>156</v>
      </c>
    </row>
    <row r="3" spans="1:4" x14ac:dyDescent="0.3">
      <c r="A3" t="s">
        <v>141</v>
      </c>
      <c r="B3" t="s">
        <v>64</v>
      </c>
      <c r="C3" t="s">
        <v>142</v>
      </c>
      <c r="D3" t="s">
        <v>143</v>
      </c>
    </row>
    <row r="4" spans="1:4" x14ac:dyDescent="0.3">
      <c r="A4" t="s">
        <v>106</v>
      </c>
      <c r="B4" t="s">
        <v>144</v>
      </c>
      <c r="C4" s="7">
        <v>43537</v>
      </c>
      <c r="D4" s="5">
        <f>Tabla12[[#This Row],[Piezas abatidas caza mayor]]/Tabla12[[#Totals],[Piezas abatidas caza mayor]]</f>
        <v>2.2660213387102567E-2</v>
      </c>
    </row>
    <row r="5" spans="1:4" x14ac:dyDescent="0.3">
      <c r="A5" t="s">
        <v>106</v>
      </c>
      <c r="B5" t="s">
        <v>145</v>
      </c>
      <c r="C5" s="7">
        <v>16106</v>
      </c>
      <c r="D5" s="5">
        <f>Tabla12[[#This Row],[Piezas abatidas caza mayor]]/Tabla12[[#Totals],[Piezas abatidas caza mayor]]</f>
        <v>8.3828788573552145E-3</v>
      </c>
    </row>
    <row r="6" spans="1:4" x14ac:dyDescent="0.3">
      <c r="A6" t="s">
        <v>106</v>
      </c>
      <c r="B6" t="s">
        <v>137</v>
      </c>
      <c r="C6" s="7">
        <v>4145</v>
      </c>
      <c r="D6" s="5">
        <f>Tabla12[[#This Row],[Piezas abatidas caza mayor]]/Tabla12[[#Totals],[Piezas abatidas caza mayor]]</f>
        <v>2.1573968001823767E-3</v>
      </c>
    </row>
    <row r="7" spans="1:4" x14ac:dyDescent="0.3">
      <c r="A7" t="s">
        <v>106</v>
      </c>
      <c r="B7" t="s">
        <v>146</v>
      </c>
      <c r="C7" s="7">
        <v>3973</v>
      </c>
      <c r="D7" s="5">
        <f>Tabla12[[#This Row],[Piezas abatidas caza mayor]]/Tabla12[[#Totals],[Piezas abatidas caza mayor]]</f>
        <v>2.0678739414052068E-3</v>
      </c>
    </row>
    <row r="8" spans="1:4" x14ac:dyDescent="0.3">
      <c r="A8" t="s">
        <v>106</v>
      </c>
      <c r="B8" t="s">
        <v>70</v>
      </c>
      <c r="C8" s="7">
        <v>520</v>
      </c>
      <c r="D8" s="5">
        <f>Tabla12[[#This Row],[Piezas abatidas caza mayor]]/Tabla12[[#Totals],[Piezas abatidas caza mayor]]</f>
        <v>2.7065050327981566E-4</v>
      </c>
    </row>
    <row r="9" spans="1:4" x14ac:dyDescent="0.3">
      <c r="A9" t="s">
        <v>106</v>
      </c>
      <c r="B9" t="s">
        <v>107</v>
      </c>
      <c r="C9" s="7">
        <v>126</v>
      </c>
      <c r="D9" s="5">
        <f>Tabla12[[#This Row],[Piezas abatidas caza mayor]]/Tabla12[[#Totals],[Piezas abatidas caza mayor]]</f>
        <v>6.5580698871647638E-5</v>
      </c>
    </row>
    <row r="10" spans="1:4" x14ac:dyDescent="0.3">
      <c r="A10" t="s">
        <v>106</v>
      </c>
      <c r="B10" t="s">
        <v>72</v>
      </c>
      <c r="C10" s="7">
        <v>0</v>
      </c>
      <c r="D10" s="5">
        <f>Tabla12[[#This Row],[Piezas abatidas caza mayor]]/Tabla12[[#Totals],[Piezas abatidas caza mayor]]</f>
        <v>0</v>
      </c>
    </row>
    <row r="11" spans="1:4" x14ac:dyDescent="0.3">
      <c r="A11" t="s">
        <v>109</v>
      </c>
      <c r="B11" t="s">
        <v>147</v>
      </c>
      <c r="C11" s="7">
        <v>1105347</v>
      </c>
      <c r="D11" s="5">
        <f>Tabla12[[#This Row],[Piezas abatidas caza mayor]]/Tabla12[[#Totals],[Piezas abatidas caza mayor]]</f>
        <v>0.57531292663237388</v>
      </c>
    </row>
    <row r="12" spans="1:4" x14ac:dyDescent="0.3">
      <c r="A12" t="s">
        <v>109</v>
      </c>
      <c r="B12" t="s">
        <v>112</v>
      </c>
      <c r="C12" s="7">
        <v>216508</v>
      </c>
      <c r="D12" s="5">
        <f>Tabla12[[#This Row],[Piezas abatidas caza mayor]]/Tabla12[[#Totals],[Piezas abatidas caza mayor]]</f>
        <v>0.11268845993097371</v>
      </c>
    </row>
    <row r="13" spans="1:4" x14ac:dyDescent="0.3">
      <c r="A13" t="s">
        <v>109</v>
      </c>
      <c r="B13" t="s">
        <v>148</v>
      </c>
      <c r="C13" s="7">
        <v>182808</v>
      </c>
      <c r="D13" s="5">
        <f>Tabla12[[#This Row],[Piezas abatidas caza mayor]]/Tabla12[[#Totals],[Piezas abatidas caza mayor]]</f>
        <v>9.5148225391493355E-2</v>
      </c>
    </row>
    <row r="14" spans="1:4" x14ac:dyDescent="0.3">
      <c r="A14" t="s">
        <v>109</v>
      </c>
      <c r="B14" t="s">
        <v>77</v>
      </c>
      <c r="C14" s="7">
        <v>125588</v>
      </c>
      <c r="D14" s="5">
        <f>Tabla12[[#This Row],[Piezas abatidas caza mayor]]/Tabla12[[#Totals],[Piezas abatidas caza mayor]]</f>
        <v>6.5366260395972098E-2</v>
      </c>
    </row>
    <row r="15" spans="1:4" x14ac:dyDescent="0.3">
      <c r="A15" t="s">
        <v>109</v>
      </c>
      <c r="B15" t="s">
        <v>149</v>
      </c>
      <c r="C15" s="7">
        <v>102988</v>
      </c>
      <c r="D15" s="5">
        <f>Tabla12[[#This Row],[Piezas abatidas caza mayor]]/Tabla12[[#Totals],[Piezas abatidas caza mayor]]</f>
        <v>5.3603373138041643E-2</v>
      </c>
    </row>
    <row r="16" spans="1:4" x14ac:dyDescent="0.3">
      <c r="A16" t="s">
        <v>109</v>
      </c>
      <c r="B16" t="s">
        <v>79</v>
      </c>
      <c r="C16" s="7">
        <v>30690</v>
      </c>
      <c r="D16" s="5">
        <f>Tabla12[[#This Row],[Piezas abatidas caza mayor]]/Tabla12[[#Totals],[Piezas abatidas caza mayor]]</f>
        <v>1.5973584510879889E-2</v>
      </c>
    </row>
    <row r="17" spans="1:4" x14ac:dyDescent="0.3">
      <c r="A17" t="s">
        <v>109</v>
      </c>
      <c r="B17" t="s">
        <v>150</v>
      </c>
      <c r="C17" s="7">
        <v>29323</v>
      </c>
      <c r="D17" s="5">
        <f>Tabla12[[#This Row],[Piezas abatidas caza mayor]]/Tabla12[[#Totals],[Piezas abatidas caza mayor]]</f>
        <v>1.5262085976296221E-2</v>
      </c>
    </row>
    <row r="18" spans="1:4" x14ac:dyDescent="0.3">
      <c r="A18" t="s">
        <v>109</v>
      </c>
      <c r="B18" t="s">
        <v>151</v>
      </c>
      <c r="C18" s="7">
        <v>21030</v>
      </c>
      <c r="D18" s="5">
        <f>Tabla12[[#This Row],[Piezas abatidas caza mayor]]/Tabla12[[#Totals],[Piezas abatidas caza mayor]]</f>
        <v>1.0945730930720238E-2</v>
      </c>
    </row>
    <row r="19" spans="1:4" x14ac:dyDescent="0.3">
      <c r="A19" t="s">
        <v>109</v>
      </c>
      <c r="B19" t="s">
        <v>152</v>
      </c>
      <c r="C19" s="7">
        <v>14575</v>
      </c>
      <c r="D19" s="5">
        <f>Tabla12[[#This Row],[Piezas abatidas caza mayor]]/Tabla12[[#Totals],[Piezas abatidas caza mayor]]</f>
        <v>7.5860213178909871E-3</v>
      </c>
    </row>
    <row r="20" spans="1:4" x14ac:dyDescent="0.3">
      <c r="A20" t="s">
        <v>109</v>
      </c>
      <c r="B20" t="s">
        <v>153</v>
      </c>
      <c r="C20" s="7">
        <v>13088</v>
      </c>
      <c r="D20" s="5">
        <f>Tabla12[[#This Row],[Piezas abatidas caza mayor]]/Tabla12[[#Totals],[Piezas abatidas caza mayor]]</f>
        <v>6.8120649748581296E-3</v>
      </c>
    </row>
    <row r="21" spans="1:4" x14ac:dyDescent="0.3">
      <c r="A21" t="s">
        <v>109</v>
      </c>
      <c r="B21" t="s">
        <v>84</v>
      </c>
      <c r="C21" s="7">
        <v>8078</v>
      </c>
      <c r="D21" s="5">
        <f>Tabla12[[#This Row],[Piezas abatidas caza mayor]]/Tabla12[[#Totals],[Piezas abatidas caza mayor]]</f>
        <v>4.2044514721045209E-3</v>
      </c>
    </row>
    <row r="22" spans="1:4" x14ac:dyDescent="0.3">
      <c r="A22" t="s">
        <v>109</v>
      </c>
      <c r="B22" t="s">
        <v>85</v>
      </c>
      <c r="C22" s="7">
        <v>1476</v>
      </c>
      <c r="D22" s="5">
        <f>Tabla12[[#This Row],[Piezas abatidas caza mayor]]/Tabla12[[#Totals],[Piezas abatidas caza mayor]]</f>
        <v>7.6823104392501529E-4</v>
      </c>
    </row>
    <row r="23" spans="1:4" x14ac:dyDescent="0.3">
      <c r="A23" t="s">
        <v>109</v>
      </c>
      <c r="B23" t="s">
        <v>81</v>
      </c>
      <c r="C23" s="7">
        <v>1240</v>
      </c>
      <c r="D23" s="5">
        <f>Tabla12[[#This Row],[Piezas abatidas caza mayor]]/Tabla12[[#Totals],[Piezas abatidas caza mayor]]</f>
        <v>6.4539735397494509E-4</v>
      </c>
    </row>
    <row r="24" spans="1:4" x14ac:dyDescent="0.3">
      <c r="A24" t="s">
        <v>109</v>
      </c>
      <c r="B24" t="s">
        <v>86</v>
      </c>
      <c r="C24" s="7">
        <v>151</v>
      </c>
      <c r="D24" s="5">
        <f>Tabla12[[#This Row],[Piezas abatidas caza mayor]]/Tabla12[[#Totals],[Piezas abatidas caza mayor]]</f>
        <v>7.859274229856186E-5</v>
      </c>
    </row>
    <row r="25" spans="1:4" x14ac:dyDescent="0.3">
      <c r="A25" t="s">
        <v>109</v>
      </c>
      <c r="B25" t="s">
        <v>154</v>
      </c>
      <c r="C25" s="7">
        <v>0</v>
      </c>
      <c r="D25" s="5">
        <f>Tabla12[[#This Row],[Piezas abatidas caza mayor]]/Tabla12[[#Totals],[Piezas abatidas caza mayor]]</f>
        <v>0</v>
      </c>
    </row>
    <row r="26" spans="1:4" x14ac:dyDescent="0.3">
      <c r="A26" t="s">
        <v>14</v>
      </c>
      <c r="C26" s="16">
        <f>SUBTOTAL(109,Tabla12[Piezas abatidas caza mayor])</f>
        <v>1921297</v>
      </c>
      <c r="D26" s="17">
        <f>SUBTOTAL(109,Tabla12[Porcentaje sobre piezas de caza mayor])</f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65DF-64FD-4D50-A033-C09E74EAE9EA}">
  <sheetPr>
    <tabColor rgb="FF00689D"/>
  </sheetPr>
  <dimension ref="A1:E20"/>
  <sheetViews>
    <sheetView workbookViewId="0">
      <selection activeCell="G28" sqref="G28"/>
    </sheetView>
  </sheetViews>
  <sheetFormatPr baseColWidth="10" defaultRowHeight="16.5" x14ac:dyDescent="0.3"/>
  <cols>
    <col min="1" max="1" width="13.375" customWidth="1"/>
    <col min="4" max="4" width="19" customWidth="1"/>
  </cols>
  <sheetData>
    <row r="1" spans="1:5" x14ac:dyDescent="0.3">
      <c r="A1" s="1" t="s">
        <v>174</v>
      </c>
    </row>
    <row r="2" spans="1:5" x14ac:dyDescent="0.3">
      <c r="A2" s="1" t="s">
        <v>175</v>
      </c>
    </row>
    <row r="3" spans="1:5" x14ac:dyDescent="0.3">
      <c r="A3" t="s">
        <v>105</v>
      </c>
      <c r="B3" t="s">
        <v>64</v>
      </c>
      <c r="C3" t="s">
        <v>157</v>
      </c>
      <c r="D3" t="s">
        <v>158</v>
      </c>
      <c r="E3" t="s">
        <v>159</v>
      </c>
    </row>
    <row r="4" spans="1:5" x14ac:dyDescent="0.3">
      <c r="A4" t="s">
        <v>106</v>
      </c>
      <c r="B4" t="s">
        <v>160</v>
      </c>
      <c r="C4">
        <v>267</v>
      </c>
      <c r="D4">
        <v>2</v>
      </c>
      <c r="E4">
        <v>269</v>
      </c>
    </row>
    <row r="5" spans="1:5" x14ac:dyDescent="0.3">
      <c r="A5" t="s">
        <v>106</v>
      </c>
      <c r="B5" t="s">
        <v>161</v>
      </c>
      <c r="C5">
        <v>175</v>
      </c>
      <c r="D5">
        <v>1</v>
      </c>
      <c r="E5">
        <v>176</v>
      </c>
    </row>
    <row r="6" spans="1:5" x14ac:dyDescent="0.3">
      <c r="A6" t="s">
        <v>106</v>
      </c>
      <c r="B6" t="s">
        <v>162</v>
      </c>
      <c r="C6">
        <v>259</v>
      </c>
      <c r="D6">
        <v>14</v>
      </c>
      <c r="E6">
        <v>273</v>
      </c>
    </row>
    <row r="7" spans="1:5" x14ac:dyDescent="0.3">
      <c r="A7" t="s">
        <v>106</v>
      </c>
      <c r="B7" t="s">
        <v>163</v>
      </c>
      <c r="C7">
        <v>78</v>
      </c>
      <c r="D7">
        <v>10</v>
      </c>
      <c r="E7">
        <v>88</v>
      </c>
    </row>
    <row r="8" spans="1:5" x14ac:dyDescent="0.3">
      <c r="A8" t="s">
        <v>106</v>
      </c>
      <c r="B8" t="s">
        <v>164</v>
      </c>
      <c r="C8">
        <v>138</v>
      </c>
      <c r="D8">
        <v>15</v>
      </c>
      <c r="E8">
        <v>153</v>
      </c>
    </row>
    <row r="9" spans="1:5" x14ac:dyDescent="0.3">
      <c r="A9" t="s">
        <v>106</v>
      </c>
      <c r="B9" t="s">
        <v>165</v>
      </c>
      <c r="C9">
        <v>2</v>
      </c>
      <c r="D9">
        <v>0</v>
      </c>
      <c r="E9">
        <v>2</v>
      </c>
    </row>
    <row r="10" spans="1:5" x14ac:dyDescent="0.3">
      <c r="A10" t="s">
        <v>109</v>
      </c>
      <c r="B10" t="s">
        <v>166</v>
      </c>
      <c r="C10">
        <v>0</v>
      </c>
      <c r="D10">
        <v>5</v>
      </c>
      <c r="E10">
        <v>5</v>
      </c>
    </row>
    <row r="11" spans="1:5" x14ac:dyDescent="0.3">
      <c r="A11" t="s">
        <v>109</v>
      </c>
      <c r="B11" t="s">
        <v>167</v>
      </c>
      <c r="C11">
        <v>0</v>
      </c>
      <c r="D11">
        <v>0</v>
      </c>
      <c r="E11">
        <v>0</v>
      </c>
    </row>
    <row r="12" spans="1:5" x14ac:dyDescent="0.3">
      <c r="A12" t="s">
        <v>109</v>
      </c>
      <c r="B12" t="s">
        <v>168</v>
      </c>
      <c r="C12">
        <v>0</v>
      </c>
      <c r="D12">
        <v>0</v>
      </c>
      <c r="E12">
        <v>0</v>
      </c>
    </row>
    <row r="13" spans="1:5" x14ac:dyDescent="0.3">
      <c r="A13" t="s">
        <v>109</v>
      </c>
      <c r="B13" t="s">
        <v>169</v>
      </c>
      <c r="C13">
        <v>1</v>
      </c>
      <c r="D13">
        <v>1</v>
      </c>
      <c r="E13">
        <v>2</v>
      </c>
    </row>
    <row r="14" spans="1:5" x14ac:dyDescent="0.3">
      <c r="A14" t="s">
        <v>109</v>
      </c>
      <c r="B14" t="s">
        <v>75</v>
      </c>
      <c r="C14">
        <v>0</v>
      </c>
      <c r="D14">
        <v>5</v>
      </c>
      <c r="E14">
        <v>5</v>
      </c>
    </row>
    <row r="15" spans="1:5" x14ac:dyDescent="0.3">
      <c r="A15" t="s">
        <v>109</v>
      </c>
      <c r="B15" t="s">
        <v>170</v>
      </c>
      <c r="C15">
        <v>0</v>
      </c>
      <c r="D15">
        <v>0</v>
      </c>
      <c r="E15">
        <v>0</v>
      </c>
    </row>
    <row r="16" spans="1:5" x14ac:dyDescent="0.3">
      <c r="A16" t="s">
        <v>109</v>
      </c>
      <c r="B16" t="s">
        <v>110</v>
      </c>
      <c r="C16">
        <v>0</v>
      </c>
      <c r="D16">
        <v>0</v>
      </c>
      <c r="E16">
        <v>0</v>
      </c>
    </row>
    <row r="17" spans="1:5" x14ac:dyDescent="0.3">
      <c r="A17" t="s">
        <v>109</v>
      </c>
      <c r="B17" t="s">
        <v>171</v>
      </c>
      <c r="C17">
        <v>0</v>
      </c>
      <c r="D17">
        <v>1</v>
      </c>
      <c r="E17">
        <v>1</v>
      </c>
    </row>
    <row r="18" spans="1:5" x14ac:dyDescent="0.3">
      <c r="A18" t="s">
        <v>109</v>
      </c>
      <c r="B18" t="s">
        <v>172</v>
      </c>
      <c r="C18">
        <v>0</v>
      </c>
      <c r="D18">
        <v>0</v>
      </c>
      <c r="E18">
        <v>0</v>
      </c>
    </row>
    <row r="19" spans="1:5" x14ac:dyDescent="0.3">
      <c r="A19" t="s">
        <v>109</v>
      </c>
      <c r="B19" t="s">
        <v>173</v>
      </c>
      <c r="C19">
        <v>0</v>
      </c>
      <c r="D19">
        <v>0</v>
      </c>
      <c r="E19">
        <v>0</v>
      </c>
    </row>
    <row r="20" spans="1:5" x14ac:dyDescent="0.3">
      <c r="A20" t="s">
        <v>14</v>
      </c>
      <c r="C20">
        <f>SUBTOTAL(109,Tabla13[Cazados])</f>
        <v>920</v>
      </c>
      <c r="D20">
        <f>SUBTOTAL(109,Tabla13[Enfermos / Muertos])</f>
        <v>54</v>
      </c>
      <c r="E20">
        <f>SUBTOTAL(109,Tabla13[Totales])</f>
        <v>974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BCD5-5AC4-4E34-97C0-7DE758318370}">
  <sheetPr>
    <tabColor rgb="FF00689D"/>
  </sheetPr>
  <dimension ref="A1:I17"/>
  <sheetViews>
    <sheetView workbookViewId="0">
      <selection activeCell="D31" sqref="D31"/>
    </sheetView>
  </sheetViews>
  <sheetFormatPr baseColWidth="10" defaultRowHeight="16.5" x14ac:dyDescent="0.3"/>
  <cols>
    <col min="1" max="1" width="42.625" bestFit="1" customWidth="1"/>
    <col min="2" max="2" width="11.375" customWidth="1"/>
    <col min="3" max="3" width="12" customWidth="1"/>
    <col min="5" max="5" width="11.125" customWidth="1"/>
    <col min="6" max="6" width="13.25" customWidth="1"/>
    <col min="7" max="7" width="13.875" customWidth="1"/>
    <col min="8" max="8" width="11.5" customWidth="1"/>
    <col min="9" max="9" width="12.125" customWidth="1"/>
  </cols>
  <sheetData>
    <row r="1" spans="1:9" x14ac:dyDescent="0.3">
      <c r="A1" s="1" t="s">
        <v>194</v>
      </c>
    </row>
    <row r="2" spans="1:9" x14ac:dyDescent="0.3">
      <c r="A2" s="1" t="s">
        <v>116</v>
      </c>
    </row>
    <row r="3" spans="1:9" ht="17.25" customHeight="1" x14ac:dyDescent="0.3">
      <c r="A3" s="7" t="s">
        <v>176</v>
      </c>
      <c r="B3" s="7" t="s">
        <v>177</v>
      </c>
      <c r="C3" s="7" t="s">
        <v>178</v>
      </c>
      <c r="D3" s="7" t="s">
        <v>179</v>
      </c>
      <c r="E3" s="7" t="s">
        <v>180</v>
      </c>
      <c r="F3" s="7" t="s">
        <v>181</v>
      </c>
      <c r="G3" s="7" t="s">
        <v>182</v>
      </c>
      <c r="H3" s="7" t="s">
        <v>183</v>
      </c>
      <c r="I3" s="7" t="s">
        <v>184</v>
      </c>
    </row>
    <row r="4" spans="1:9" x14ac:dyDescent="0.3">
      <c r="A4" s="7" t="s">
        <v>185</v>
      </c>
      <c r="B4" s="7">
        <v>43</v>
      </c>
      <c r="C4" s="7">
        <v>409.81</v>
      </c>
      <c r="D4" s="7">
        <v>39</v>
      </c>
      <c r="E4" s="7">
        <v>572.04999999999995</v>
      </c>
      <c r="F4" s="7">
        <v>21</v>
      </c>
      <c r="G4" s="7">
        <v>127.86</v>
      </c>
      <c r="H4" s="7">
        <v>103</v>
      </c>
      <c r="I4" s="7">
        <v>1109.72</v>
      </c>
    </row>
    <row r="5" spans="1:9" x14ac:dyDescent="0.3">
      <c r="A5" s="7" t="s">
        <v>186</v>
      </c>
      <c r="B5" s="7">
        <v>14</v>
      </c>
      <c r="C5" s="7">
        <v>219.76</v>
      </c>
      <c r="D5" s="7">
        <v>7</v>
      </c>
      <c r="E5" s="7">
        <v>88.44</v>
      </c>
      <c r="F5" s="7">
        <v>5</v>
      </c>
      <c r="G5" s="7">
        <v>530.03</v>
      </c>
      <c r="H5" s="7">
        <v>26</v>
      </c>
      <c r="I5" s="7">
        <v>838.23</v>
      </c>
    </row>
    <row r="6" spans="1:9" x14ac:dyDescent="0.3">
      <c r="A6" s="7" t="s">
        <v>187</v>
      </c>
      <c r="B6" s="7">
        <v>20</v>
      </c>
      <c r="C6" s="7">
        <v>184.25</v>
      </c>
      <c r="D6" s="7">
        <v>9</v>
      </c>
      <c r="E6" s="7">
        <v>61</v>
      </c>
      <c r="F6" s="7">
        <v>0</v>
      </c>
      <c r="G6" s="7">
        <v>0</v>
      </c>
      <c r="H6" s="7">
        <v>29</v>
      </c>
      <c r="I6" s="7">
        <v>245.25</v>
      </c>
    </row>
    <row r="7" spans="1:9" x14ac:dyDescent="0.3">
      <c r="A7" s="7" t="s">
        <v>188</v>
      </c>
      <c r="B7" s="7">
        <v>0</v>
      </c>
      <c r="C7" s="7">
        <v>0</v>
      </c>
      <c r="D7" s="7">
        <v>0</v>
      </c>
      <c r="E7" s="7"/>
      <c r="F7" s="7">
        <v>1</v>
      </c>
      <c r="G7" s="7">
        <v>0.8</v>
      </c>
      <c r="H7" s="7">
        <v>1</v>
      </c>
      <c r="I7" s="7">
        <v>0.8</v>
      </c>
    </row>
    <row r="8" spans="1:9" x14ac:dyDescent="0.3">
      <c r="A8" s="7" t="s">
        <v>189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x14ac:dyDescent="0.3">
      <c r="A9" s="7" t="s">
        <v>190</v>
      </c>
      <c r="B9" s="7">
        <v>19</v>
      </c>
      <c r="C9" s="7">
        <v>284.43</v>
      </c>
      <c r="D9" s="7">
        <v>3</v>
      </c>
      <c r="E9" s="7">
        <v>20.260000000000002</v>
      </c>
      <c r="F9" s="7">
        <v>25</v>
      </c>
      <c r="G9" s="7">
        <v>236.11</v>
      </c>
      <c r="H9" s="7">
        <v>47</v>
      </c>
      <c r="I9" s="7">
        <v>540.79999999999995</v>
      </c>
    </row>
    <row r="10" spans="1:9" x14ac:dyDescent="0.3">
      <c r="A10" s="7" t="s">
        <v>191</v>
      </c>
      <c r="B10" s="7"/>
      <c r="C10" s="7">
        <v>1159.21</v>
      </c>
      <c r="D10" s="7"/>
      <c r="E10" s="7">
        <v>1123.53</v>
      </c>
      <c r="F10" s="7"/>
      <c r="G10" s="7">
        <v>335.12</v>
      </c>
      <c r="H10" s="7"/>
      <c r="I10" s="7">
        <v>2617.86</v>
      </c>
    </row>
    <row r="11" spans="1:9" x14ac:dyDescent="0.3">
      <c r="A11" s="7" t="s">
        <v>192</v>
      </c>
      <c r="B11" s="7">
        <v>27</v>
      </c>
      <c r="C11" s="7">
        <v>173.16</v>
      </c>
      <c r="D11" s="7">
        <v>7</v>
      </c>
      <c r="E11" s="7">
        <v>92</v>
      </c>
      <c r="F11" s="7">
        <v>2</v>
      </c>
      <c r="G11" s="7">
        <v>11.25</v>
      </c>
      <c r="H11" s="7">
        <v>37</v>
      </c>
      <c r="I11" s="7">
        <v>276.41000000000003</v>
      </c>
    </row>
    <row r="12" spans="1:9" x14ac:dyDescent="0.3">
      <c r="A12" s="7" t="s">
        <v>193</v>
      </c>
      <c r="B12" s="7">
        <v>0</v>
      </c>
      <c r="C12" s="7">
        <v>702.86</v>
      </c>
      <c r="D12" s="7"/>
      <c r="E12" s="7">
        <v>409.79</v>
      </c>
      <c r="F12" s="7"/>
      <c r="G12" s="7">
        <v>1555.69</v>
      </c>
      <c r="H12" s="7"/>
      <c r="I12" s="7">
        <v>2668.34</v>
      </c>
    </row>
    <row r="13" spans="1:9" x14ac:dyDescent="0.3">
      <c r="A13" s="7" t="s">
        <v>14</v>
      </c>
      <c r="B13" s="7">
        <v>123</v>
      </c>
      <c r="C13" s="7">
        <v>3133.48</v>
      </c>
      <c r="D13" s="7">
        <v>65</v>
      </c>
      <c r="E13" s="7">
        <v>2367.0700000000002</v>
      </c>
      <c r="F13" s="7">
        <v>54</v>
      </c>
      <c r="G13" s="7">
        <v>2796.86</v>
      </c>
      <c r="H13" s="7">
        <v>243</v>
      </c>
      <c r="I13" s="7">
        <v>8297.41</v>
      </c>
    </row>
    <row r="14" spans="1:9" x14ac:dyDescent="0.3">
      <c r="A14" t="s">
        <v>14</v>
      </c>
      <c r="C14" s="14">
        <f>SUBTOTAL(109,Tabla14[Huesca Km])</f>
        <v>6266.96</v>
      </c>
      <c r="E14" s="14">
        <f>SUBTOTAL(109,Tabla14[Teruel Km])</f>
        <v>4734.1400000000003</v>
      </c>
      <c r="F14" s="14">
        <f>SUBTOTAL(109,Tabla14[Zaragoza Nº])</f>
        <v>108</v>
      </c>
      <c r="G14" s="14">
        <f>SUBTOTAL(109,Tabla14[Zaragoza Km])</f>
        <v>5593.72</v>
      </c>
      <c r="H14" s="14">
        <f>SUBTOTAL(109,Tabla14[Aragón Nº])</f>
        <v>486</v>
      </c>
      <c r="I14" s="14">
        <f>SUBTOTAL(109,Tabla14[Aragón Km])</f>
        <v>16594.82</v>
      </c>
    </row>
    <row r="15" spans="1:9" x14ac:dyDescent="0.3">
      <c r="A15" s="1" t="s">
        <v>195</v>
      </c>
    </row>
    <row r="16" spans="1:9" x14ac:dyDescent="0.3">
      <c r="A16" s="1" t="s">
        <v>196</v>
      </c>
    </row>
    <row r="17" spans="1:1" x14ac:dyDescent="0.3">
      <c r="A17" s="1" t="s">
        <v>197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A1F7-7E99-4C1D-B310-3E1F6E13DE1D}">
  <sheetPr>
    <tabColor rgb="FF00689D"/>
  </sheetPr>
  <dimension ref="A1:C12"/>
  <sheetViews>
    <sheetView workbookViewId="0">
      <selection activeCell="B27" sqref="B27"/>
    </sheetView>
  </sheetViews>
  <sheetFormatPr baseColWidth="10" defaultRowHeight="16.5" x14ac:dyDescent="0.3"/>
  <cols>
    <col min="1" max="1" width="40" bestFit="1" customWidth="1"/>
    <col min="2" max="2" width="9" bestFit="1" customWidth="1"/>
  </cols>
  <sheetData>
    <row r="1" spans="1:3" x14ac:dyDescent="0.3">
      <c r="A1" s="1" t="s">
        <v>206</v>
      </c>
    </row>
    <row r="2" spans="1:3" x14ac:dyDescent="0.3">
      <c r="A2" s="1" t="s">
        <v>201</v>
      </c>
    </row>
    <row r="3" spans="1:3" x14ac:dyDescent="0.3">
      <c r="A3" t="s">
        <v>176</v>
      </c>
      <c r="B3" t="s">
        <v>205</v>
      </c>
      <c r="C3" t="s">
        <v>198</v>
      </c>
    </row>
    <row r="4" spans="1:3" x14ac:dyDescent="0.3">
      <c r="A4" t="s">
        <v>185</v>
      </c>
      <c r="B4" s="7">
        <v>101</v>
      </c>
      <c r="C4" s="6">
        <v>1072.0237757999998</v>
      </c>
    </row>
    <row r="5" spans="1:3" x14ac:dyDescent="0.3">
      <c r="A5" t="s">
        <v>186</v>
      </c>
      <c r="B5" s="7">
        <v>26</v>
      </c>
      <c r="C5" s="6">
        <v>823.6869999999999</v>
      </c>
    </row>
    <row r="6" spans="1:3" x14ac:dyDescent="0.3">
      <c r="A6" t="s">
        <v>199</v>
      </c>
      <c r="B6" s="7">
        <v>15</v>
      </c>
      <c r="C6" s="6">
        <v>119.33033926959989</v>
      </c>
    </row>
    <row r="7" spans="1:3" x14ac:dyDescent="0.3">
      <c r="A7" t="s">
        <v>188</v>
      </c>
      <c r="B7" s="7">
        <v>1</v>
      </c>
      <c r="C7" s="6">
        <v>0.8</v>
      </c>
    </row>
    <row r="8" spans="1:3" x14ac:dyDescent="0.3">
      <c r="A8" t="s">
        <v>187</v>
      </c>
      <c r="B8" s="7">
        <v>30</v>
      </c>
      <c r="C8" s="6">
        <v>251.8736102</v>
      </c>
    </row>
    <row r="9" spans="1:3" x14ac:dyDescent="0.3">
      <c r="A9" t="s">
        <v>191</v>
      </c>
      <c r="B9" s="7"/>
      <c r="C9" s="6">
        <v>2613.5278381349999</v>
      </c>
    </row>
    <row r="10" spans="1:3" x14ac:dyDescent="0.3">
      <c r="A10" t="s">
        <v>192</v>
      </c>
      <c r="B10" s="7">
        <v>35</v>
      </c>
      <c r="C10" s="6">
        <v>219.7</v>
      </c>
    </row>
    <row r="11" spans="1:3" x14ac:dyDescent="0.3">
      <c r="A11" t="s">
        <v>200</v>
      </c>
      <c r="B11" s="7"/>
      <c r="C11" s="6">
        <v>3141.6044365950002</v>
      </c>
    </row>
    <row r="12" spans="1:3" x14ac:dyDescent="0.3">
      <c r="A12" t="s">
        <v>14</v>
      </c>
      <c r="B12" s="14">
        <f>SUBTOTAL(109,Tabla16[[nº ]])</f>
        <v>208</v>
      </c>
      <c r="C12" s="12">
        <f>SUBTOTAL(109,Tabla16[Km])</f>
        <v>8242.5469999995985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DD78-0DF2-4C1D-9528-52753AB30341}">
  <sheetPr>
    <tabColor rgb="FF00689D"/>
  </sheetPr>
  <dimension ref="A1:C7"/>
  <sheetViews>
    <sheetView workbookViewId="0">
      <selection activeCell="H31" sqref="H31"/>
    </sheetView>
  </sheetViews>
  <sheetFormatPr baseColWidth="10" defaultRowHeight="16.5" x14ac:dyDescent="0.3"/>
  <cols>
    <col min="1" max="1" width="23.875" customWidth="1"/>
    <col min="3" max="3" width="11.125" customWidth="1"/>
  </cols>
  <sheetData>
    <row r="1" spans="1:3" x14ac:dyDescent="0.3">
      <c r="A1" s="1" t="s">
        <v>208</v>
      </c>
    </row>
    <row r="2" spans="1:3" x14ac:dyDescent="0.3">
      <c r="A2" s="1" t="s">
        <v>201</v>
      </c>
    </row>
    <row r="3" spans="1:3" x14ac:dyDescent="0.3">
      <c r="A3" s="6" t="s">
        <v>176</v>
      </c>
      <c r="B3" s="6" t="s">
        <v>205</v>
      </c>
      <c r="C3" s="6" t="s">
        <v>207</v>
      </c>
    </row>
    <row r="4" spans="1:3" x14ac:dyDescent="0.3">
      <c r="A4" s="6" t="s">
        <v>202</v>
      </c>
      <c r="B4" s="6"/>
      <c r="C4" s="6">
        <v>1072.0237757999998</v>
      </c>
    </row>
    <row r="5" spans="1:3" x14ac:dyDescent="0.3">
      <c r="A5" s="6" t="s">
        <v>203</v>
      </c>
      <c r="B5" s="6"/>
      <c r="C5" s="6">
        <v>436.56033926959998</v>
      </c>
    </row>
    <row r="6" spans="1:3" x14ac:dyDescent="0.3">
      <c r="A6" s="6" t="s">
        <v>204</v>
      </c>
      <c r="B6" s="6"/>
      <c r="C6" s="6">
        <v>6733.9670654426491</v>
      </c>
    </row>
    <row r="7" spans="1:3" x14ac:dyDescent="0.3">
      <c r="A7" t="s">
        <v>14</v>
      </c>
      <c r="C7" s="12">
        <f>SUBTOTAL(109,Tabla17[km])</f>
        <v>8242.5511805122496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5368-31E7-4B3E-A5A4-68636BB9BBA1}">
  <sheetPr>
    <tabColor rgb="FF00689D"/>
  </sheetPr>
  <dimension ref="A1:C10"/>
  <sheetViews>
    <sheetView workbookViewId="0">
      <selection activeCell="E32" sqref="E32"/>
    </sheetView>
  </sheetViews>
  <sheetFormatPr baseColWidth="10" defaultRowHeight="16.5" x14ac:dyDescent="0.3"/>
  <cols>
    <col min="1" max="1" width="35.125" customWidth="1"/>
    <col min="3" max="3" width="11.125" customWidth="1"/>
  </cols>
  <sheetData>
    <row r="1" spans="1:3" x14ac:dyDescent="0.3">
      <c r="A1" s="1" t="s">
        <v>213</v>
      </c>
    </row>
    <row r="2" spans="1:3" x14ac:dyDescent="0.3">
      <c r="A2" s="1" t="s">
        <v>214</v>
      </c>
    </row>
    <row r="3" spans="1:3" x14ac:dyDescent="0.3">
      <c r="A3" t="s">
        <v>209</v>
      </c>
      <c r="B3" t="s">
        <v>212</v>
      </c>
      <c r="C3" t="s">
        <v>207</v>
      </c>
    </row>
    <row r="4" spans="1:3" x14ac:dyDescent="0.3">
      <c r="A4" t="s">
        <v>185</v>
      </c>
      <c r="B4" s="7">
        <v>82</v>
      </c>
      <c r="C4" s="6">
        <v>939.90476599999988</v>
      </c>
    </row>
    <row r="5" spans="1:3" x14ac:dyDescent="0.3">
      <c r="A5" t="s">
        <v>186</v>
      </c>
      <c r="B5" s="7">
        <v>12</v>
      </c>
      <c r="C5" s="6">
        <v>125.608</v>
      </c>
    </row>
    <row r="6" spans="1:3" x14ac:dyDescent="0.3">
      <c r="A6" t="s">
        <v>199</v>
      </c>
      <c r="B6" s="7">
        <v>15</v>
      </c>
      <c r="C6" s="6">
        <v>119.33033926959989</v>
      </c>
    </row>
    <row r="7" spans="1:3" x14ac:dyDescent="0.3">
      <c r="A7" t="s">
        <v>210</v>
      </c>
      <c r="B7" s="7">
        <v>35</v>
      </c>
      <c r="C7" s="6">
        <v>219.7</v>
      </c>
    </row>
    <row r="8" spans="1:3" x14ac:dyDescent="0.3">
      <c r="A8" t="s">
        <v>187</v>
      </c>
      <c r="B8" s="7">
        <v>29</v>
      </c>
      <c r="C8" s="6">
        <v>245.0086202</v>
      </c>
    </row>
    <row r="9" spans="1:3" x14ac:dyDescent="0.3">
      <c r="A9" t="s">
        <v>211</v>
      </c>
      <c r="B9" s="7"/>
      <c r="C9" s="6">
        <v>2617.86</v>
      </c>
    </row>
    <row r="10" spans="1:3" x14ac:dyDescent="0.3">
      <c r="A10" t="s">
        <v>14</v>
      </c>
      <c r="B10" s="7"/>
      <c r="C10" s="6">
        <f>SUBTOTAL(109,Tabla18[km])</f>
        <v>4267.4117254695993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5A42-1EF9-4D3B-B370-1CB84BE73B65}">
  <sheetPr>
    <tabColor rgb="FF00689D"/>
  </sheetPr>
  <dimension ref="A1:B7"/>
  <sheetViews>
    <sheetView workbookViewId="0">
      <selection activeCell="O24" sqref="O24"/>
    </sheetView>
  </sheetViews>
  <sheetFormatPr baseColWidth="10" defaultRowHeight="16.5" x14ac:dyDescent="0.3"/>
  <cols>
    <col min="1" max="1" width="35.375" customWidth="1"/>
  </cols>
  <sheetData>
    <row r="1" spans="1:2" x14ac:dyDescent="0.3">
      <c r="A1" s="1" t="s">
        <v>216</v>
      </c>
    </row>
    <row r="2" spans="1:2" x14ac:dyDescent="0.3">
      <c r="A2" s="1" t="s">
        <v>201</v>
      </c>
    </row>
    <row r="3" spans="1:2" x14ac:dyDescent="0.3">
      <c r="A3" t="s">
        <v>215</v>
      </c>
      <c r="B3" t="s">
        <v>198</v>
      </c>
    </row>
    <row r="4" spans="1:2" x14ac:dyDescent="0.3">
      <c r="A4" t="s">
        <v>202</v>
      </c>
      <c r="B4" s="6">
        <v>939.90476599999988</v>
      </c>
    </row>
    <row r="5" spans="1:2" x14ac:dyDescent="0.3">
      <c r="A5" t="s">
        <v>203</v>
      </c>
      <c r="B5" s="6">
        <v>367.91033926959989</v>
      </c>
    </row>
    <row r="6" spans="1:2" x14ac:dyDescent="0.3">
      <c r="A6" t="s">
        <v>204</v>
      </c>
      <c r="B6" s="6">
        <v>2959.5986201999999</v>
      </c>
    </row>
    <row r="7" spans="1:2" x14ac:dyDescent="0.3">
      <c r="A7" t="s">
        <v>14</v>
      </c>
      <c r="B7" s="6">
        <f>SUBTOTAL(109,Tabla19[Km])</f>
        <v>4267.4137254695997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6587-85D2-4198-AE87-F09D15528626}">
  <sheetPr>
    <tabColor rgb="FF00689D"/>
  </sheetPr>
  <dimension ref="A1:AS35"/>
  <sheetViews>
    <sheetView zoomScaleNormal="100" workbookViewId="0">
      <selection activeCell="AF21" sqref="AF21"/>
    </sheetView>
  </sheetViews>
  <sheetFormatPr baseColWidth="10" defaultColWidth="10" defaultRowHeight="12.75" x14ac:dyDescent="0.2"/>
  <cols>
    <col min="1" max="29" width="5.5" style="19" customWidth="1"/>
    <col min="30" max="30" width="6.5" style="19" customWidth="1"/>
    <col min="31" max="36" width="5.5" style="19" customWidth="1"/>
    <col min="37" max="37" width="4.375" style="19" customWidth="1"/>
    <col min="38" max="38" width="4.875" style="19" customWidth="1"/>
    <col min="39" max="39" width="5.375" style="19" customWidth="1"/>
    <col min="40" max="40" width="4.375" style="19" customWidth="1"/>
    <col min="41" max="41" width="5.5" style="19" customWidth="1"/>
    <col min="42" max="42" width="5.375" style="19" customWidth="1"/>
    <col min="43" max="43" width="5.625" style="19" customWidth="1"/>
    <col min="44" max="44" width="6.5" style="19" customWidth="1"/>
    <col min="45" max="45" width="5.5" style="19" customWidth="1"/>
    <col min="46" max="16384" width="10" style="19"/>
  </cols>
  <sheetData>
    <row r="1" spans="1:45" x14ac:dyDescent="0.2">
      <c r="A1" s="1" t="s">
        <v>220</v>
      </c>
    </row>
    <row r="2" spans="1:45" x14ac:dyDescent="0.2">
      <c r="A2" s="1" t="s">
        <v>221</v>
      </c>
    </row>
    <row r="3" spans="1:45" ht="13.5" customHeight="1" thickBot="1" x14ac:dyDescent="0.25">
      <c r="A3" s="34" t="s">
        <v>219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  <c r="P3" s="37" t="s">
        <v>218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 t="s">
        <v>217</v>
      </c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13.5" thickBot="1" x14ac:dyDescent="0.25">
      <c r="A4" s="30">
        <v>2008</v>
      </c>
      <c r="B4" s="29">
        <v>2009</v>
      </c>
      <c r="C4" s="29">
        <v>2010</v>
      </c>
      <c r="D4" s="29">
        <v>2011</v>
      </c>
      <c r="E4" s="29">
        <v>2012</v>
      </c>
      <c r="F4" s="29">
        <v>2013</v>
      </c>
      <c r="G4" s="29">
        <v>2014</v>
      </c>
      <c r="H4" s="29">
        <v>2015</v>
      </c>
      <c r="I4" s="29">
        <v>2016</v>
      </c>
      <c r="J4" s="29">
        <v>2017</v>
      </c>
      <c r="K4" s="29">
        <v>2018</v>
      </c>
      <c r="L4" s="29">
        <v>2019</v>
      </c>
      <c r="M4" s="29">
        <v>2020</v>
      </c>
      <c r="N4" s="29">
        <v>2021</v>
      </c>
      <c r="O4" s="29">
        <v>2022</v>
      </c>
      <c r="P4" s="29">
        <v>2008</v>
      </c>
      <c r="Q4" s="29">
        <v>2009</v>
      </c>
      <c r="R4" s="29">
        <v>2010</v>
      </c>
      <c r="S4" s="29">
        <v>2011</v>
      </c>
      <c r="T4" s="29">
        <v>2012</v>
      </c>
      <c r="U4" s="29">
        <v>2013</v>
      </c>
      <c r="V4" s="29">
        <v>2014</v>
      </c>
      <c r="W4" s="29">
        <v>2015</v>
      </c>
      <c r="X4" s="29">
        <v>2016</v>
      </c>
      <c r="Y4" s="29">
        <v>2017</v>
      </c>
      <c r="Z4" s="29">
        <v>2018</v>
      </c>
      <c r="AA4" s="29">
        <v>2019</v>
      </c>
      <c r="AB4" s="29">
        <v>2020</v>
      </c>
      <c r="AC4" s="28">
        <v>2021</v>
      </c>
      <c r="AD4" s="28">
        <v>2022</v>
      </c>
      <c r="AE4" s="28">
        <v>2008</v>
      </c>
      <c r="AF4" s="28">
        <v>2009</v>
      </c>
      <c r="AG4" s="28">
        <v>2010</v>
      </c>
      <c r="AH4" s="28">
        <v>2011</v>
      </c>
      <c r="AI4" s="28">
        <v>2012</v>
      </c>
      <c r="AJ4" s="28">
        <v>2013</v>
      </c>
      <c r="AK4" s="28">
        <v>2014</v>
      </c>
      <c r="AL4" s="28">
        <v>2015</v>
      </c>
      <c r="AM4" s="28">
        <v>2016</v>
      </c>
      <c r="AN4" s="28">
        <v>2017</v>
      </c>
      <c r="AO4" s="28">
        <v>2018</v>
      </c>
      <c r="AP4" s="28">
        <v>2019</v>
      </c>
      <c r="AQ4" s="28">
        <v>2020</v>
      </c>
      <c r="AR4" s="28">
        <v>2021</v>
      </c>
      <c r="AS4" s="28">
        <v>2022</v>
      </c>
    </row>
    <row r="5" spans="1:45" x14ac:dyDescent="0.2">
      <c r="A5" s="24">
        <v>3479.5175410000002</v>
      </c>
      <c r="B5" s="24">
        <v>3342.2769050000002</v>
      </c>
      <c r="C5" s="24">
        <v>3314.765817</v>
      </c>
      <c r="D5" s="24">
        <v>3200.917391</v>
      </c>
      <c r="E5" s="24">
        <v>3187.9664339999999</v>
      </c>
      <c r="F5" s="24">
        <v>3033.2355870000001</v>
      </c>
      <c r="G5" s="24">
        <v>2894.8272989999996</v>
      </c>
      <c r="H5" s="24">
        <v>2602.6999999999998</v>
      </c>
      <c r="I5" s="24">
        <v>822.46399999999994</v>
      </c>
      <c r="J5" s="24">
        <v>633.70000000000005</v>
      </c>
      <c r="K5" s="24">
        <v>612.79999999999995</v>
      </c>
      <c r="L5" s="24">
        <v>496.7</v>
      </c>
      <c r="M5" s="24">
        <v>494.7</v>
      </c>
      <c r="N5" s="24">
        <v>482.49</v>
      </c>
      <c r="O5" s="24">
        <v>367.91033926959989</v>
      </c>
      <c r="P5" s="24">
        <v>274.27187199999997</v>
      </c>
      <c r="Q5" s="24">
        <v>424.61266499999999</v>
      </c>
      <c r="R5" s="24">
        <v>453.21003100000001</v>
      </c>
      <c r="S5" s="24">
        <v>480.21689500000002</v>
      </c>
      <c r="T5" s="24">
        <v>503.14840099999998</v>
      </c>
      <c r="U5" s="24">
        <v>688.304486</v>
      </c>
      <c r="V5" s="24">
        <v>717.02535200000011</v>
      </c>
      <c r="W5" s="24">
        <v>880.3</v>
      </c>
      <c r="X5" s="24">
        <v>2603.6880000000001</v>
      </c>
      <c r="Y5" s="24">
        <v>2861.3</v>
      </c>
      <c r="Z5" s="24">
        <v>2808.7</v>
      </c>
      <c r="AA5" s="24">
        <v>2885.6</v>
      </c>
      <c r="AB5" s="24">
        <v>2918.8510000000001</v>
      </c>
      <c r="AC5" s="27">
        <v>2892.741</v>
      </c>
      <c r="AD5" s="26">
        <v>2959.5986201999999</v>
      </c>
      <c r="AE5" s="24">
        <v>661.33682799999997</v>
      </c>
      <c r="AF5" s="24">
        <v>651.023146</v>
      </c>
      <c r="AG5" s="24">
        <v>642.19085099999995</v>
      </c>
      <c r="AH5" s="24">
        <v>730.87123199999996</v>
      </c>
      <c r="AI5" s="24">
        <v>755.51111300000002</v>
      </c>
      <c r="AJ5" s="24">
        <v>730.71840299999997</v>
      </c>
      <c r="AK5" s="25">
        <v>746.61264300000005</v>
      </c>
      <c r="AL5" s="23">
        <v>745</v>
      </c>
      <c r="AM5" s="23">
        <v>801.8</v>
      </c>
      <c r="AN5" s="23">
        <v>806.6</v>
      </c>
      <c r="AO5" s="24">
        <v>868.4</v>
      </c>
      <c r="AP5" s="24">
        <v>905.6</v>
      </c>
      <c r="AQ5" s="22">
        <v>905.6</v>
      </c>
      <c r="AR5" s="23">
        <v>937.28300000000002</v>
      </c>
      <c r="AS5" s="22">
        <v>939.90476599999988</v>
      </c>
    </row>
    <row r="8" spans="1:45" x14ac:dyDescent="0.2">
      <c r="B8" s="21"/>
    </row>
    <row r="35" spans="1:1" x14ac:dyDescent="0.2">
      <c r="A35" s="20" t="s">
        <v>201</v>
      </c>
    </row>
  </sheetData>
  <sheetProtection selectLockedCells="1" selectUnlockedCells="1"/>
  <mergeCells count="3">
    <mergeCell ref="A3:O3"/>
    <mergeCell ref="P3:AD3"/>
    <mergeCell ref="AE3:AS3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89D"/>
  </sheetPr>
  <dimension ref="A1:J9"/>
  <sheetViews>
    <sheetView workbookViewId="0">
      <selection activeCell="A15" sqref="A15"/>
    </sheetView>
  </sheetViews>
  <sheetFormatPr baseColWidth="10" defaultRowHeight="16.5" x14ac:dyDescent="0.3"/>
  <cols>
    <col min="1" max="1" width="52.625" style="7" bestFit="1" customWidth="1"/>
    <col min="2" max="2" width="9.5" style="7" bestFit="1" customWidth="1"/>
    <col min="3" max="3" width="20" style="7" bestFit="1" customWidth="1"/>
    <col min="4" max="4" width="8.625" style="7" bestFit="1" customWidth="1"/>
    <col min="5" max="5" width="18.625" style="7" bestFit="1" customWidth="1"/>
    <col min="6" max="6" width="11.375" style="7" bestFit="1" customWidth="1"/>
    <col min="7" max="7" width="21.5" style="7" bestFit="1" customWidth="1"/>
    <col min="8" max="8" width="9.625" style="7" bestFit="1" customWidth="1"/>
    <col min="9" max="9" width="19.625" style="7" bestFit="1" customWidth="1"/>
    <col min="10" max="10" width="26.875" style="7" bestFit="1" customWidth="1"/>
    <col min="11" max="16384" width="11" style="7"/>
  </cols>
  <sheetData>
    <row r="1" spans="1:10" x14ac:dyDescent="0.3">
      <c r="A1" s="1" t="s">
        <v>37</v>
      </c>
    </row>
    <row r="2" spans="1:10" x14ac:dyDescent="0.3">
      <c r="A2" s="1" t="s">
        <v>38</v>
      </c>
    </row>
    <row r="3" spans="1:10" ht="53.25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15</v>
      </c>
    </row>
    <row r="4" spans="1:10" ht="80.25" customHeight="1" x14ac:dyDescent="0.3">
      <c r="A4" s="7" t="s">
        <v>9</v>
      </c>
      <c r="B4" s="7">
        <v>448</v>
      </c>
      <c r="C4" s="7">
        <v>1195228</v>
      </c>
      <c r="D4" s="7">
        <v>294</v>
      </c>
      <c r="E4" s="7">
        <v>1306203</v>
      </c>
      <c r="F4" s="7">
        <v>356</v>
      </c>
      <c r="G4" s="7">
        <v>1400914</v>
      </c>
      <c r="H4" s="7">
        <v>1098</v>
      </c>
      <c r="I4" s="7">
        <f>C4+E4+G4</f>
        <v>3902345</v>
      </c>
      <c r="J4" s="5">
        <f>I4/Tabla35[[#Totals],[Superficie (ha) Aragón]]</f>
        <v>0.87994581889059964</v>
      </c>
    </row>
    <row r="5" spans="1:10" ht="61.5" customHeight="1" x14ac:dyDescent="0.3">
      <c r="A5" s="7" t="s">
        <v>10</v>
      </c>
      <c r="B5" s="7">
        <v>96</v>
      </c>
      <c r="C5" s="7">
        <v>106360</v>
      </c>
      <c r="D5" s="7">
        <v>54</v>
      </c>
      <c r="E5" s="7">
        <v>64624</v>
      </c>
      <c r="F5" s="7">
        <v>114</v>
      </c>
      <c r="G5" s="7">
        <v>125089</v>
      </c>
      <c r="H5" s="7">
        <v>264</v>
      </c>
      <c r="I5" s="7">
        <f>C5+E5+G5</f>
        <v>296073</v>
      </c>
      <c r="J5" s="5">
        <f>I5/Tabla35[[#Totals],[Superficie (ha) Aragón]]</f>
        <v>6.6761959395285786E-2</v>
      </c>
    </row>
    <row r="6" spans="1:10" ht="81" customHeight="1" x14ac:dyDescent="0.3">
      <c r="A6" s="7" t="s">
        <v>11</v>
      </c>
      <c r="B6" s="7">
        <v>13</v>
      </c>
      <c r="C6" s="7">
        <v>3708</v>
      </c>
      <c r="D6" s="7">
        <v>7</v>
      </c>
      <c r="E6" s="7">
        <v>1597</v>
      </c>
      <c r="F6" s="7">
        <v>20</v>
      </c>
      <c r="G6" s="7">
        <v>4249</v>
      </c>
      <c r="H6" s="7">
        <v>40</v>
      </c>
      <c r="I6" s="7">
        <f>C6+E6+G6</f>
        <v>9554</v>
      </c>
      <c r="J6" s="5">
        <f>I6/Tabla35[[#Totals],[Superficie (ha) Aragón]]</f>
        <v>2.1543462594108896E-3</v>
      </c>
    </row>
    <row r="7" spans="1:10" ht="55.5" customHeight="1" x14ac:dyDescent="0.3">
      <c r="A7" s="7" t="s">
        <v>12</v>
      </c>
      <c r="B7" s="7">
        <v>5</v>
      </c>
      <c r="C7" s="7">
        <v>138356</v>
      </c>
      <c r="D7" s="7">
        <v>3</v>
      </c>
      <c r="E7" s="7">
        <v>58620</v>
      </c>
      <c r="F7" s="7">
        <v>0</v>
      </c>
      <c r="G7" s="7">
        <v>0</v>
      </c>
      <c r="H7" s="7">
        <f>B7+D7+F7</f>
        <v>8</v>
      </c>
      <c r="I7" s="7">
        <f>C7+E7+G7</f>
        <v>196976</v>
      </c>
      <c r="J7" s="5">
        <f>I7/Tabla35[[#Totals],[Superficie (ha) Aragón]]</f>
        <v>4.4416423361285269E-2</v>
      </c>
    </row>
    <row r="8" spans="1:10" ht="54" customHeight="1" x14ac:dyDescent="0.3">
      <c r="A8" s="7" t="s">
        <v>13</v>
      </c>
      <c r="B8" s="7">
        <v>7</v>
      </c>
      <c r="C8" s="7">
        <v>24020</v>
      </c>
      <c r="D8" s="7">
        <v>1</v>
      </c>
      <c r="E8" s="7">
        <v>2287</v>
      </c>
      <c r="F8" s="7">
        <v>2</v>
      </c>
      <c r="G8" s="7">
        <v>3501</v>
      </c>
      <c r="H8" s="7">
        <f>B8+D8+F8</f>
        <v>10</v>
      </c>
      <c r="I8" s="7">
        <f>C8+E8+G8</f>
        <v>29808</v>
      </c>
      <c r="J8" s="5">
        <f>I8/Tabla35[[#Totals],[Superficie (ha) Aragón]]</f>
        <v>6.7214520934184433E-3</v>
      </c>
    </row>
    <row r="9" spans="1:10" ht="23.25" customHeight="1" x14ac:dyDescent="0.3">
      <c r="A9" s="7" t="s">
        <v>14</v>
      </c>
      <c r="B9" s="7">
        <f>SUBTOTAL(109,Tabla35[Nº Huesca])</f>
        <v>569</v>
      </c>
      <c r="C9" s="7">
        <f>SUBTOTAL(109,Tabla35[Superficie (ha) Huesca ])</f>
        <v>1467672</v>
      </c>
      <c r="D9" s="7">
        <f>SUBTOTAL(109,Tabla35[Nº Teruel])</f>
        <v>359</v>
      </c>
      <c r="E9" s="7">
        <f>SUBTOTAL(109,Tabla35[Superficie (ha) Teruel])</f>
        <v>1433331</v>
      </c>
      <c r="F9" s="7">
        <f>SUBTOTAL(109,Tabla35[Nº Zaragoza])</f>
        <v>492</v>
      </c>
      <c r="G9" s="7">
        <f>SUBTOTAL(109,Tabla35[Superficie (ha) Zaragoza])</f>
        <v>1533753</v>
      </c>
      <c r="H9" s="7">
        <f>SUBTOTAL(109,Tabla35[Nº Aragón])</f>
        <v>1420</v>
      </c>
      <c r="I9" s="7">
        <f>SUBTOTAL(109,Tabla35[Superficie (ha) Aragón])</f>
        <v>4434756</v>
      </c>
      <c r="J9" s="5">
        <f>SUBTOTAL(109,Tabla35[% superficie cinegética Aragón])</f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E27E-3DF8-4A6A-9203-640CF9A8C70F}">
  <sheetPr>
    <tabColor rgb="FF00689D"/>
  </sheetPr>
  <dimension ref="A1:C26"/>
  <sheetViews>
    <sheetView workbookViewId="0">
      <selection activeCell="E31" sqref="E31:F31"/>
    </sheetView>
  </sheetViews>
  <sheetFormatPr baseColWidth="10" defaultRowHeight="16.5" x14ac:dyDescent="0.3"/>
  <cols>
    <col min="1" max="1" width="12.25" bestFit="1" customWidth="1"/>
    <col min="2" max="2" width="17.5" bestFit="1" customWidth="1"/>
    <col min="3" max="3" width="24.5" bestFit="1" customWidth="1"/>
  </cols>
  <sheetData>
    <row r="1" spans="1:3" x14ac:dyDescent="0.3">
      <c r="A1" s="1" t="s">
        <v>270</v>
      </c>
    </row>
    <row r="2" spans="1:3" x14ac:dyDescent="0.3">
      <c r="A2" s="1" t="s">
        <v>53</v>
      </c>
    </row>
    <row r="3" spans="1:3" x14ac:dyDescent="0.3">
      <c r="A3" t="s">
        <v>222</v>
      </c>
      <c r="B3" t="s">
        <v>64</v>
      </c>
      <c r="C3" t="s">
        <v>223</v>
      </c>
    </row>
    <row r="4" spans="1:3" x14ac:dyDescent="0.3">
      <c r="A4" t="s">
        <v>224</v>
      </c>
      <c r="B4" t="s">
        <v>225</v>
      </c>
      <c r="C4" t="s">
        <v>226</v>
      </c>
    </row>
    <row r="5" spans="1:3" x14ac:dyDescent="0.3">
      <c r="A5" t="s">
        <v>224</v>
      </c>
      <c r="B5" t="s">
        <v>227</v>
      </c>
      <c r="C5" t="s">
        <v>228</v>
      </c>
    </row>
    <row r="6" spans="1:3" x14ac:dyDescent="0.3">
      <c r="A6" t="s">
        <v>224</v>
      </c>
      <c r="B6" t="s">
        <v>229</v>
      </c>
      <c r="C6" t="s">
        <v>230</v>
      </c>
    </row>
    <row r="7" spans="1:3" x14ac:dyDescent="0.3">
      <c r="A7" t="s">
        <v>231</v>
      </c>
      <c r="B7" t="s">
        <v>232</v>
      </c>
      <c r="C7" t="s">
        <v>233</v>
      </c>
    </row>
    <row r="8" spans="1:3" x14ac:dyDescent="0.3">
      <c r="A8" t="s">
        <v>231</v>
      </c>
      <c r="B8" t="s">
        <v>234</v>
      </c>
      <c r="C8" t="s">
        <v>235</v>
      </c>
    </row>
    <row r="9" spans="1:3" x14ac:dyDescent="0.3">
      <c r="A9" t="s">
        <v>231</v>
      </c>
      <c r="B9" t="s">
        <v>236</v>
      </c>
      <c r="C9" t="s">
        <v>237</v>
      </c>
    </row>
    <row r="10" spans="1:3" x14ac:dyDescent="0.3">
      <c r="A10" t="s">
        <v>231</v>
      </c>
      <c r="B10" t="s">
        <v>238</v>
      </c>
      <c r="C10" t="s">
        <v>239</v>
      </c>
    </row>
    <row r="11" spans="1:3" x14ac:dyDescent="0.3">
      <c r="A11" t="s">
        <v>231</v>
      </c>
      <c r="B11" t="s">
        <v>240</v>
      </c>
      <c r="C11" t="s">
        <v>241</v>
      </c>
    </row>
    <row r="12" spans="1:3" x14ac:dyDescent="0.3">
      <c r="A12" t="s">
        <v>231</v>
      </c>
      <c r="B12" t="s">
        <v>242</v>
      </c>
      <c r="C12" t="s">
        <v>243</v>
      </c>
    </row>
    <row r="13" spans="1:3" x14ac:dyDescent="0.3">
      <c r="A13" t="s">
        <v>231</v>
      </c>
      <c r="B13" t="s">
        <v>244</v>
      </c>
      <c r="C13" t="s">
        <v>245</v>
      </c>
    </row>
    <row r="14" spans="1:3" x14ac:dyDescent="0.3">
      <c r="A14" t="s">
        <v>231</v>
      </c>
      <c r="B14" t="s">
        <v>246</v>
      </c>
      <c r="C14" t="s">
        <v>247</v>
      </c>
    </row>
    <row r="15" spans="1:3" x14ac:dyDescent="0.3">
      <c r="A15" t="s">
        <v>231</v>
      </c>
      <c r="B15" t="s">
        <v>248</v>
      </c>
      <c r="C15" t="s">
        <v>249</v>
      </c>
    </row>
    <row r="16" spans="1:3" x14ac:dyDescent="0.3">
      <c r="A16" t="s">
        <v>250</v>
      </c>
      <c r="B16" t="s">
        <v>251</v>
      </c>
      <c r="C16" t="s">
        <v>252</v>
      </c>
    </row>
    <row r="17" spans="1:3" x14ac:dyDescent="0.3">
      <c r="A17" t="s">
        <v>250</v>
      </c>
      <c r="B17" t="s">
        <v>253</v>
      </c>
      <c r="C17" t="s">
        <v>254</v>
      </c>
    </row>
    <row r="18" spans="1:3" x14ac:dyDescent="0.3">
      <c r="A18" t="s">
        <v>250</v>
      </c>
      <c r="B18" t="s">
        <v>255</v>
      </c>
      <c r="C18" t="s">
        <v>256</v>
      </c>
    </row>
    <row r="19" spans="1:3" x14ac:dyDescent="0.3">
      <c r="A19" t="s">
        <v>250</v>
      </c>
      <c r="B19" t="s">
        <v>257</v>
      </c>
      <c r="C19" t="s">
        <v>258</v>
      </c>
    </row>
    <row r="20" spans="1:3" x14ac:dyDescent="0.3">
      <c r="A20" t="s">
        <v>250</v>
      </c>
      <c r="B20" t="s">
        <v>259</v>
      </c>
      <c r="C20" t="s">
        <v>260</v>
      </c>
    </row>
    <row r="21" spans="1:3" x14ac:dyDescent="0.3">
      <c r="A21" t="s">
        <v>250</v>
      </c>
      <c r="B21" t="s">
        <v>261</v>
      </c>
      <c r="C21" t="s">
        <v>262</v>
      </c>
    </row>
    <row r="22" spans="1:3" x14ac:dyDescent="0.3">
      <c r="A22" t="s">
        <v>250</v>
      </c>
      <c r="B22" t="s">
        <v>263</v>
      </c>
      <c r="C22" t="s">
        <v>264</v>
      </c>
    </row>
    <row r="23" spans="1:3" x14ac:dyDescent="0.3">
      <c r="A23" t="s">
        <v>265</v>
      </c>
      <c r="B23" t="s">
        <v>266</v>
      </c>
      <c r="C23" t="s">
        <v>267</v>
      </c>
    </row>
    <row r="25" spans="1:3" x14ac:dyDescent="0.3">
      <c r="A25" s="1" t="s">
        <v>268</v>
      </c>
    </row>
    <row r="26" spans="1:3" x14ac:dyDescent="0.3">
      <c r="A26" s="1" t="s">
        <v>269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2DAB-7C37-45EB-9AB5-43113AC6F295}">
  <sheetPr>
    <tabColor rgb="FF00689D"/>
  </sheetPr>
  <dimension ref="A1:D7"/>
  <sheetViews>
    <sheetView workbookViewId="0">
      <selection activeCell="E14" sqref="E14"/>
    </sheetView>
  </sheetViews>
  <sheetFormatPr baseColWidth="10" defaultRowHeight="16.5" x14ac:dyDescent="0.3"/>
  <cols>
    <col min="1" max="1" width="33" bestFit="1" customWidth="1"/>
    <col min="2" max="2" width="15.5" bestFit="1" customWidth="1"/>
    <col min="3" max="3" width="10.25" bestFit="1" customWidth="1"/>
    <col min="4" max="4" width="10.875" bestFit="1" customWidth="1"/>
  </cols>
  <sheetData>
    <row r="1" spans="1:4" x14ac:dyDescent="0.3">
      <c r="A1" s="1" t="s">
        <v>277</v>
      </c>
    </row>
    <row r="2" spans="1:4" x14ac:dyDescent="0.3">
      <c r="A2" s="1" t="s">
        <v>278</v>
      </c>
    </row>
    <row r="3" spans="1:4" x14ac:dyDescent="0.3">
      <c r="A3" t="s">
        <v>30</v>
      </c>
      <c r="B3" t="s">
        <v>271</v>
      </c>
      <c r="C3" t="s">
        <v>272</v>
      </c>
      <c r="D3" t="s">
        <v>31</v>
      </c>
    </row>
    <row r="4" spans="1:4" x14ac:dyDescent="0.3">
      <c r="A4" t="s">
        <v>273</v>
      </c>
      <c r="B4" t="s">
        <v>274</v>
      </c>
      <c r="C4" s="7">
        <v>39727</v>
      </c>
      <c r="D4" s="7">
        <v>467414</v>
      </c>
    </row>
    <row r="5" spans="1:4" x14ac:dyDescent="0.3">
      <c r="A5" t="s">
        <v>273</v>
      </c>
      <c r="B5" t="s">
        <v>275</v>
      </c>
      <c r="C5" s="7">
        <v>13524</v>
      </c>
      <c r="D5" s="7">
        <v>0</v>
      </c>
    </row>
    <row r="6" spans="1:4" x14ac:dyDescent="0.3">
      <c r="A6" t="s">
        <v>276</v>
      </c>
      <c r="B6" t="s">
        <v>274</v>
      </c>
      <c r="C6" s="7">
        <v>3052</v>
      </c>
      <c r="D6" s="7">
        <v>76300</v>
      </c>
    </row>
    <row r="7" spans="1:4" x14ac:dyDescent="0.3">
      <c r="A7" t="s">
        <v>14</v>
      </c>
      <c r="C7" s="7">
        <f>SUBTOTAL(109,Tabla22[[Número ]])</f>
        <v>56303</v>
      </c>
      <c r="D7" s="7">
        <f>SUBTOTAL(109,Tabla22[Importe])</f>
        <v>543714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60AC-A73D-4BEF-9186-8088523C6E1D}">
  <sheetPr>
    <tabColor rgb="FF00689D"/>
  </sheetPr>
  <dimension ref="A1:C23"/>
  <sheetViews>
    <sheetView workbookViewId="0">
      <selection activeCell="J31" sqref="J31"/>
    </sheetView>
  </sheetViews>
  <sheetFormatPr baseColWidth="10" defaultRowHeight="16.5" x14ac:dyDescent="0.3"/>
  <cols>
    <col min="1" max="1" width="11.125" customWidth="1"/>
    <col min="2" max="2" width="14.375" customWidth="1"/>
    <col min="3" max="3" width="11.125" customWidth="1"/>
  </cols>
  <sheetData>
    <row r="1" spans="1:3" x14ac:dyDescent="0.3">
      <c r="A1" s="1" t="s">
        <v>299</v>
      </c>
    </row>
    <row r="2" spans="1:3" ht="12.75" customHeight="1" x14ac:dyDescent="0.3">
      <c r="A2" s="1" t="s">
        <v>300</v>
      </c>
    </row>
    <row r="3" spans="1:3" x14ac:dyDescent="0.3">
      <c r="A3" t="s">
        <v>287</v>
      </c>
      <c r="B3" t="s">
        <v>288</v>
      </c>
      <c r="C3" t="s">
        <v>61</v>
      </c>
    </row>
    <row r="4" spans="1:3" x14ac:dyDescent="0.3">
      <c r="A4" t="s">
        <v>279</v>
      </c>
      <c r="B4" s="7">
        <v>2533</v>
      </c>
      <c r="C4" s="5">
        <f>Tabla23[[#This Row],[nº pescadores]]/Tabla23[[#Totals],[nº pescadores]]</f>
        <v>0.34123669675333423</v>
      </c>
    </row>
    <row r="5" spans="1:3" x14ac:dyDescent="0.3">
      <c r="A5" t="s">
        <v>280</v>
      </c>
      <c r="B5" s="7">
        <v>1503</v>
      </c>
      <c r="C5" s="5">
        <f>Tabla23[[#This Row],[nº pescadores]]/Tabla23[[#Totals],[nº pescadores]]</f>
        <v>0.20247878216354573</v>
      </c>
    </row>
    <row r="6" spans="1:3" x14ac:dyDescent="0.3">
      <c r="A6" t="s">
        <v>281</v>
      </c>
      <c r="B6" s="7">
        <v>1391</v>
      </c>
      <c r="C6" s="5">
        <f>Tabla23[[#This Row],[nº pescadores]]/Tabla23[[#Totals],[nº pescadores]]</f>
        <v>0.18739054290718038</v>
      </c>
    </row>
    <row r="7" spans="1:3" x14ac:dyDescent="0.3">
      <c r="A7" t="s">
        <v>282</v>
      </c>
      <c r="B7" s="7">
        <v>504</v>
      </c>
      <c r="C7" s="5">
        <f>Tabla23[[#This Row],[nº pescadores]]/Tabla23[[#Totals],[nº pescadores]]</f>
        <v>6.7897076653644084E-2</v>
      </c>
    </row>
    <row r="8" spans="1:3" x14ac:dyDescent="0.3">
      <c r="A8" t="s">
        <v>283</v>
      </c>
      <c r="B8" s="7">
        <v>487</v>
      </c>
      <c r="C8" s="5">
        <f>Tabla23[[#This Row],[nº pescadores]]/Tabla23[[#Totals],[nº pescadores]]</f>
        <v>6.5606897480802909E-2</v>
      </c>
    </row>
    <row r="9" spans="1:3" x14ac:dyDescent="0.3">
      <c r="A9" t="s">
        <v>284</v>
      </c>
      <c r="B9" s="7">
        <v>333</v>
      </c>
      <c r="C9" s="5">
        <f>Tabla23[[#This Row],[nº pescadores]]/Tabla23[[#Totals],[nº pescadores]]</f>
        <v>4.4860568503300551E-2</v>
      </c>
    </row>
    <row r="10" spans="1:3" x14ac:dyDescent="0.3">
      <c r="A10" t="s">
        <v>285</v>
      </c>
      <c r="B10" s="7">
        <v>266</v>
      </c>
      <c r="C10" s="5">
        <f>Tabla23[[#This Row],[nº pescadores]]/Tabla23[[#Totals],[nº pescadores]]</f>
        <v>3.5834568233867707E-2</v>
      </c>
    </row>
    <row r="11" spans="1:3" x14ac:dyDescent="0.3">
      <c r="A11" t="s">
        <v>286</v>
      </c>
      <c r="B11" s="7">
        <v>406</v>
      </c>
      <c r="C11" s="5">
        <f>Tabla23[[#This Row],[nº pescadores]]/Tabla23[[#Totals],[nº pescadores]]</f>
        <v>5.46948673043244E-2</v>
      </c>
    </row>
    <row r="12" spans="1:3" x14ac:dyDescent="0.3">
      <c r="A12" t="s">
        <v>14</v>
      </c>
      <c r="B12" s="14">
        <f>SUBTOTAL(109,Tabla23[nº pescadores])</f>
        <v>7423</v>
      </c>
      <c r="C12" s="9">
        <f>SUBTOTAL(109,Tabla23[%])</f>
        <v>1</v>
      </c>
    </row>
    <row r="13" spans="1:3" x14ac:dyDescent="0.3">
      <c r="A13" t="s">
        <v>39</v>
      </c>
      <c r="B13" t="s">
        <v>40</v>
      </c>
      <c r="C13" t="s">
        <v>41</v>
      </c>
    </row>
    <row r="14" spans="1:3" x14ac:dyDescent="0.3">
      <c r="A14" t="s">
        <v>289</v>
      </c>
      <c r="B14">
        <v>157</v>
      </c>
      <c r="C14" s="5">
        <f>Tabla25[[#This Row],[Columna2]]/Tabla23[[#Totals],[nº pescadores]]</f>
        <v>2.1150478243297858E-2</v>
      </c>
    </row>
    <row r="15" spans="1:3" x14ac:dyDescent="0.3">
      <c r="A15" t="s">
        <v>290</v>
      </c>
      <c r="B15">
        <v>99</v>
      </c>
      <c r="C15" s="5">
        <f>Tabla25[[#This Row],[Columna2]]/Tabla23[[#Totals],[nº pescadores]]</f>
        <v>1.3336925771251515E-2</v>
      </c>
    </row>
    <row r="16" spans="1:3" x14ac:dyDescent="0.3">
      <c r="A16" t="s">
        <v>291</v>
      </c>
      <c r="B16">
        <v>43</v>
      </c>
      <c r="C16" s="5">
        <f>Tabla25[[#This Row],[Columna2]]/Tabla23[[#Totals],[nº pescadores]]</f>
        <v>5.7928061430688399E-3</v>
      </c>
    </row>
    <row r="17" spans="1:3" x14ac:dyDescent="0.3">
      <c r="A17" t="s">
        <v>292</v>
      </c>
      <c r="B17">
        <v>36</v>
      </c>
      <c r="C17" s="5">
        <f>Tabla25[[#This Row],[Columna2]]/Tabla23[[#Totals],[nº pescadores]]</f>
        <v>4.8497911895460056E-3</v>
      </c>
    </row>
    <row r="18" spans="1:3" x14ac:dyDescent="0.3">
      <c r="A18" t="s">
        <v>293</v>
      </c>
      <c r="B18">
        <v>14</v>
      </c>
      <c r="C18" s="5">
        <f>Tabla25[[#This Row],[Columna2]]/Tabla23[[#Totals],[nº pescadores]]</f>
        <v>1.8860299070456688E-3</v>
      </c>
    </row>
    <row r="19" spans="1:3" x14ac:dyDescent="0.3">
      <c r="A19" t="s">
        <v>294</v>
      </c>
      <c r="B19">
        <v>36</v>
      </c>
      <c r="C19" s="5">
        <f>Tabla25[[#This Row],[Columna2]]/Tabla23[[#Totals],[nº pescadores]]</f>
        <v>4.8497911895460056E-3</v>
      </c>
    </row>
    <row r="20" spans="1:3" x14ac:dyDescent="0.3">
      <c r="A20" t="s">
        <v>295</v>
      </c>
      <c r="B20">
        <v>8</v>
      </c>
      <c r="C20" s="5">
        <f>Tabla25[[#This Row],[Columna2]]/Tabla23[[#Totals],[nº pescadores]]</f>
        <v>1.077731375454668E-3</v>
      </c>
    </row>
    <row r="21" spans="1:3" x14ac:dyDescent="0.3">
      <c r="A21" t="s">
        <v>296</v>
      </c>
      <c r="B21">
        <v>8</v>
      </c>
      <c r="C21" s="5">
        <f>Tabla25[[#This Row],[Columna2]]/Tabla23[[#Totals],[nº pescadores]]</f>
        <v>1.077731375454668E-3</v>
      </c>
    </row>
    <row r="22" spans="1:3" x14ac:dyDescent="0.3">
      <c r="A22" t="s">
        <v>297</v>
      </c>
      <c r="B22">
        <v>4</v>
      </c>
      <c r="C22" s="5">
        <f>Tabla25[[#This Row],[Columna2]]/Tabla23[[#Totals],[nº pescadores]]</f>
        <v>5.3886568772733398E-4</v>
      </c>
    </row>
    <row r="23" spans="1:3" x14ac:dyDescent="0.3">
      <c r="A23" t="s">
        <v>298</v>
      </c>
      <c r="B23">
        <v>1</v>
      </c>
      <c r="C23" s="5">
        <f>Tabla25[[#This Row],[Columna2]]/Tabla23[[#Totals],[nº pescadores]]</f>
        <v>1.347164219318335E-4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B1350-574D-4157-B2B8-2CE075CF5E17}">
  <sheetPr>
    <tabColor rgb="FF00689D"/>
  </sheetPr>
  <dimension ref="A1:C10"/>
  <sheetViews>
    <sheetView workbookViewId="0">
      <selection activeCell="G27" sqref="G27"/>
    </sheetView>
  </sheetViews>
  <sheetFormatPr baseColWidth="10" defaultRowHeight="16.5" x14ac:dyDescent="0.3"/>
  <cols>
    <col min="1" max="1" width="22.25" bestFit="1" customWidth="1"/>
    <col min="2" max="2" width="12.5" bestFit="1" customWidth="1"/>
    <col min="3" max="3" width="14.125" bestFit="1" customWidth="1"/>
  </cols>
  <sheetData>
    <row r="1" spans="1:3" x14ac:dyDescent="0.3">
      <c r="A1" s="1" t="s">
        <v>310</v>
      </c>
    </row>
    <row r="2" spans="1:3" x14ac:dyDescent="0.3">
      <c r="A2" s="1" t="s">
        <v>311</v>
      </c>
    </row>
    <row r="3" spans="1:3" x14ac:dyDescent="0.3">
      <c r="A3" t="s">
        <v>301</v>
      </c>
      <c r="B3" t="s">
        <v>302</v>
      </c>
      <c r="C3" t="s">
        <v>303</v>
      </c>
    </row>
    <row r="4" spans="1:3" x14ac:dyDescent="0.3">
      <c r="A4" t="s">
        <v>304</v>
      </c>
      <c r="B4" s="7">
        <v>33619</v>
      </c>
      <c r="C4" s="5">
        <f>Tabla26[[#This Row],[Nº licencias]]/Tabla26[[#Totals],[Nº licencias]]</f>
        <v>0.6313308670259713</v>
      </c>
    </row>
    <row r="5" spans="1:3" x14ac:dyDescent="0.3">
      <c r="A5" t="s">
        <v>305</v>
      </c>
      <c r="B5" s="7">
        <v>6727</v>
      </c>
      <c r="C5" s="5">
        <f>Tabla26[[#This Row],[Nº licencias]]/Tabla26[[#Totals],[Nº licencias]]</f>
        <v>0.1263262661734052</v>
      </c>
    </row>
    <row r="6" spans="1:3" x14ac:dyDescent="0.3">
      <c r="A6" t="s">
        <v>306</v>
      </c>
      <c r="B6" s="7">
        <v>2592</v>
      </c>
      <c r="C6" s="5">
        <f>Tabla26[[#This Row],[Nº licencias]]/Tabla26[[#Totals],[Nº licencias]]</f>
        <v>4.8675142250849748E-2</v>
      </c>
    </row>
    <row r="7" spans="1:3" x14ac:dyDescent="0.3">
      <c r="A7" t="s">
        <v>307</v>
      </c>
      <c r="B7" s="7">
        <v>2007</v>
      </c>
      <c r="C7" s="5">
        <f>Tabla26[[#This Row],[Nº licencias]]/Tabla26[[#Totals],[Nº licencias]]</f>
        <v>3.7689433062289911E-2</v>
      </c>
    </row>
    <row r="8" spans="1:3" x14ac:dyDescent="0.3">
      <c r="A8" t="s">
        <v>308</v>
      </c>
      <c r="B8" s="7">
        <v>1651</v>
      </c>
      <c r="C8" s="5">
        <f>Tabla26[[#This Row],[Nº licencias]]/Tabla26[[#Totals],[Nº licencias]]</f>
        <v>3.1004112598824435E-2</v>
      </c>
    </row>
    <row r="9" spans="1:3" x14ac:dyDescent="0.3">
      <c r="A9" t="s">
        <v>309</v>
      </c>
      <c r="B9" s="7">
        <v>6655</v>
      </c>
      <c r="C9" s="5">
        <f>Tabla26[[#This Row],[Nº licencias]]/Tabla26[[#Totals],[Nº licencias]]</f>
        <v>0.12497417888865937</v>
      </c>
    </row>
    <row r="10" spans="1:3" x14ac:dyDescent="0.3">
      <c r="A10" t="s">
        <v>14</v>
      </c>
      <c r="B10" s="14">
        <f>SUBTOTAL(109,Tabla26[Nº licencias])</f>
        <v>53251</v>
      </c>
      <c r="C10" s="17">
        <f>SUBTOTAL(109,Tabla26[% nº licencias])</f>
        <v>0.99999999999999989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6365-ABA8-4726-90C4-CC701AAAB077}">
  <sheetPr>
    <tabColor rgb="FF00689D"/>
  </sheetPr>
  <dimension ref="A1:C10"/>
  <sheetViews>
    <sheetView workbookViewId="0">
      <selection activeCell="G27" sqref="G27"/>
    </sheetView>
  </sheetViews>
  <sheetFormatPr baseColWidth="10" defaultRowHeight="16.5" x14ac:dyDescent="0.3"/>
  <cols>
    <col min="1" max="1" width="18.25" bestFit="1" customWidth="1"/>
    <col min="2" max="2" width="12.5" bestFit="1" customWidth="1"/>
    <col min="3" max="3" width="14.125" bestFit="1" customWidth="1"/>
  </cols>
  <sheetData>
    <row r="1" spans="1:3" x14ac:dyDescent="0.3">
      <c r="A1" s="1" t="s">
        <v>319</v>
      </c>
    </row>
    <row r="2" spans="1:3" x14ac:dyDescent="0.3">
      <c r="A2" s="1" t="s">
        <v>311</v>
      </c>
    </row>
    <row r="3" spans="1:3" x14ac:dyDescent="0.3">
      <c r="A3" t="s">
        <v>312</v>
      </c>
      <c r="B3" t="s">
        <v>302</v>
      </c>
      <c r="C3" t="s">
        <v>303</v>
      </c>
    </row>
    <row r="4" spans="1:3" x14ac:dyDescent="0.3">
      <c r="A4" t="s">
        <v>313</v>
      </c>
      <c r="B4" s="7">
        <v>41953</v>
      </c>
      <c r="C4" s="3">
        <f>Tabla27[[#This Row],[Nº licencias]]/Tabla27[[#Totals],[Nº licencias]]</f>
        <v>0.78783497023530069</v>
      </c>
    </row>
    <row r="5" spans="1:3" x14ac:dyDescent="0.3">
      <c r="A5" t="s">
        <v>314</v>
      </c>
      <c r="B5" s="7">
        <v>2531</v>
      </c>
      <c r="C5" s="3">
        <f>Tabla27[[#This Row],[Nº licencias]]/Tabla27[[#Totals],[Nº licencias]]</f>
        <v>4.7529623856828983E-2</v>
      </c>
    </row>
    <row r="6" spans="1:3" x14ac:dyDescent="0.3">
      <c r="A6" t="s">
        <v>315</v>
      </c>
      <c r="B6" s="7">
        <v>1840</v>
      </c>
      <c r="C6" s="3">
        <f>Tabla27[[#This Row],[Nº licencias]]/Tabla27[[#Totals],[Nº licencias]]</f>
        <v>3.455334172128223E-2</v>
      </c>
    </row>
    <row r="7" spans="1:3" x14ac:dyDescent="0.3">
      <c r="A7" t="s">
        <v>316</v>
      </c>
      <c r="B7" s="7">
        <v>1603</v>
      </c>
      <c r="C7" s="3">
        <f>Tabla27[[#This Row],[Nº licencias]]/Tabla27[[#Totals],[Nº licencias]]</f>
        <v>3.010272107566055E-2</v>
      </c>
    </row>
    <row r="8" spans="1:3" x14ac:dyDescent="0.3">
      <c r="A8" t="s">
        <v>317</v>
      </c>
      <c r="B8" s="7">
        <v>833</v>
      </c>
      <c r="C8" s="3">
        <f>Tabla27[[#This Row],[Nº licencias]]/Tabla27[[#Totals],[Nº licencias]]</f>
        <v>1.5642898724906575E-2</v>
      </c>
    </row>
    <row r="9" spans="1:3" x14ac:dyDescent="0.3">
      <c r="A9" t="s">
        <v>318</v>
      </c>
      <c r="B9" s="7">
        <v>4491</v>
      </c>
      <c r="C9" s="3">
        <f>Tabla27[[#This Row],[Nº licencias]]/Tabla27[[#Totals],[Nº licencias]]</f>
        <v>8.433644438602092E-2</v>
      </c>
    </row>
    <row r="10" spans="1:3" x14ac:dyDescent="0.3">
      <c r="A10" t="s">
        <v>14</v>
      </c>
      <c r="B10" s="7">
        <f>SUBTOTAL(109,Tabla27[Nº licencias])</f>
        <v>53251</v>
      </c>
      <c r="C10" s="3">
        <f>SUBTOTAL(109,Tabla27[% nº licencias])</f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89D"/>
  </sheetPr>
  <dimension ref="A1:P37"/>
  <sheetViews>
    <sheetView workbookViewId="0">
      <selection activeCell="H32" sqref="H32"/>
    </sheetView>
  </sheetViews>
  <sheetFormatPr baseColWidth="10" defaultRowHeight="16.5" x14ac:dyDescent="0.3"/>
  <cols>
    <col min="1" max="1" width="24" customWidth="1"/>
    <col min="2" max="2" width="27.375" bestFit="1" customWidth="1"/>
    <col min="3" max="3" width="18.75" bestFit="1" customWidth="1"/>
    <col min="4" max="4" width="21.5" bestFit="1" customWidth="1"/>
    <col min="5" max="5" width="15.25" bestFit="1" customWidth="1"/>
    <col min="6" max="6" width="20.625" bestFit="1" customWidth="1"/>
    <col min="7" max="7" width="18.125" bestFit="1" customWidth="1"/>
    <col min="8" max="8" width="23.5" bestFit="1" customWidth="1"/>
    <col min="9" max="9" width="16.25" bestFit="1" customWidth="1"/>
    <col min="10" max="10" width="21.625" bestFit="1" customWidth="1"/>
    <col min="12" max="12" width="9" bestFit="1" customWidth="1"/>
  </cols>
  <sheetData>
    <row r="1" spans="1:16" x14ac:dyDescent="0.3">
      <c r="A1" s="1" t="s">
        <v>29</v>
      </c>
    </row>
    <row r="2" spans="1:16" x14ac:dyDescent="0.3">
      <c r="C2" s="33" t="s">
        <v>17</v>
      </c>
      <c r="D2" s="33"/>
      <c r="E2" s="33" t="s">
        <v>18</v>
      </c>
      <c r="F2" s="33"/>
      <c r="G2" s="33" t="s">
        <v>19</v>
      </c>
      <c r="H2" s="33"/>
      <c r="I2" s="33" t="s">
        <v>20</v>
      </c>
      <c r="J2" s="33"/>
    </row>
    <row r="3" spans="1:16" x14ac:dyDescent="0.3">
      <c r="A3" s="2" t="s">
        <v>22</v>
      </c>
      <c r="B3" s="2" t="s">
        <v>42</v>
      </c>
      <c r="C3" t="s">
        <v>43</v>
      </c>
      <c r="D3" t="s">
        <v>44</v>
      </c>
      <c r="E3" t="s">
        <v>45</v>
      </c>
      <c r="F3" t="s">
        <v>46</v>
      </c>
      <c r="G3" t="s">
        <v>47</v>
      </c>
      <c r="H3" t="s">
        <v>48</v>
      </c>
      <c r="I3" t="s">
        <v>49</v>
      </c>
      <c r="J3" t="s">
        <v>50</v>
      </c>
    </row>
    <row r="4" spans="1:16" x14ac:dyDescent="0.3">
      <c r="A4" t="s">
        <v>25</v>
      </c>
      <c r="B4" t="s">
        <v>26</v>
      </c>
      <c r="C4">
        <v>448</v>
      </c>
      <c r="D4">
        <v>1195228</v>
      </c>
      <c r="E4">
        <v>294</v>
      </c>
      <c r="F4">
        <v>1306203</v>
      </c>
      <c r="G4">
        <v>356</v>
      </c>
      <c r="H4">
        <v>1400914</v>
      </c>
      <c r="I4">
        <v>1098</v>
      </c>
      <c r="J4">
        <v>3902345</v>
      </c>
    </row>
    <row r="5" spans="1:16" x14ac:dyDescent="0.3">
      <c r="B5" t="s">
        <v>27</v>
      </c>
      <c r="C5">
        <v>96</v>
      </c>
      <c r="D5">
        <v>106360</v>
      </c>
      <c r="E5">
        <v>54</v>
      </c>
      <c r="F5">
        <v>64624</v>
      </c>
      <c r="G5">
        <v>114</v>
      </c>
      <c r="H5">
        <v>125089</v>
      </c>
      <c r="I5">
        <v>264</v>
      </c>
      <c r="J5">
        <v>296073</v>
      </c>
    </row>
    <row r="6" spans="1:16" x14ac:dyDescent="0.3">
      <c r="B6" t="s">
        <v>28</v>
      </c>
      <c r="C6">
        <v>13</v>
      </c>
      <c r="D6">
        <v>3708</v>
      </c>
      <c r="E6">
        <v>7</v>
      </c>
      <c r="F6">
        <v>1597</v>
      </c>
      <c r="G6">
        <v>20</v>
      </c>
      <c r="H6">
        <v>4249</v>
      </c>
      <c r="I6">
        <v>40</v>
      </c>
      <c r="J6">
        <v>9554</v>
      </c>
    </row>
    <row r="7" spans="1:16" x14ac:dyDescent="0.3">
      <c r="A7" t="s">
        <v>14</v>
      </c>
      <c r="C7">
        <f>SUBTOTAL(109,Tabla2[Número en Huesca])</f>
        <v>557</v>
      </c>
      <c r="D7">
        <f>SUBTOTAL(109,Tabla2[Superficie Huesca (ha)])</f>
        <v>1305296</v>
      </c>
      <c r="E7">
        <f>SUBTOTAL(109,Tabla2[Número Teruel])</f>
        <v>355</v>
      </c>
      <c r="F7">
        <f>SUBTOTAL(109,Tabla2[Superficie Teruel (ha)])</f>
        <v>1372424</v>
      </c>
      <c r="G7">
        <f>SUBTOTAL(109,Tabla2[Número Zaragoza])</f>
        <v>490</v>
      </c>
      <c r="H7">
        <f>SUBTOTAL(109,Tabla2[Superficie Zaragoza (ha)])</f>
        <v>1530252</v>
      </c>
      <c r="I7">
        <f>SUBTOTAL(109,Tabla2[Número Aragón])</f>
        <v>1402</v>
      </c>
      <c r="J7">
        <f>SUBTOTAL(109,Tabla2[Superficie Aragón (ha)])</f>
        <v>4207972</v>
      </c>
    </row>
    <row r="8" spans="1:16" x14ac:dyDescent="0.3">
      <c r="M8" s="3"/>
      <c r="N8" s="3"/>
      <c r="O8" s="3"/>
      <c r="P8" s="3"/>
    </row>
    <row r="10" spans="1:16" x14ac:dyDescent="0.3">
      <c r="H10" s="33" t="s">
        <v>21</v>
      </c>
      <c r="I10" s="33"/>
      <c r="J10" s="33"/>
      <c r="K10" s="33"/>
      <c r="L10" s="33"/>
    </row>
    <row r="11" spans="1:16" x14ac:dyDescent="0.3">
      <c r="H11" t="s">
        <v>39</v>
      </c>
      <c r="I11" t="s">
        <v>17</v>
      </c>
      <c r="J11" t="s">
        <v>18</v>
      </c>
      <c r="K11" t="s">
        <v>19</v>
      </c>
      <c r="L11" t="s">
        <v>20</v>
      </c>
    </row>
    <row r="12" spans="1:16" x14ac:dyDescent="0.3">
      <c r="H12" s="4" t="s">
        <v>26</v>
      </c>
      <c r="I12" s="3">
        <f>C4/C7</f>
        <v>0.80430879712746861</v>
      </c>
      <c r="J12" s="3">
        <f>E4/E7</f>
        <v>0.82816901408450705</v>
      </c>
      <c r="K12" s="3">
        <f>G4/G7</f>
        <v>0.72653061224489801</v>
      </c>
      <c r="L12" s="3">
        <f>I4/I7</f>
        <v>0.7831669044222539</v>
      </c>
    </row>
    <row r="13" spans="1:16" x14ac:dyDescent="0.3">
      <c r="H13" s="4" t="s">
        <v>27</v>
      </c>
      <c r="I13" s="3">
        <f>C5/C7</f>
        <v>0.17235188509874327</v>
      </c>
      <c r="J13" s="3">
        <f>E5/E7</f>
        <v>0.15211267605633802</v>
      </c>
      <c r="K13" s="3">
        <f>G5/G7</f>
        <v>0.23265306122448978</v>
      </c>
      <c r="L13" s="3">
        <f>I5/I7</f>
        <v>0.18830242510699002</v>
      </c>
    </row>
    <row r="14" spans="1:16" x14ac:dyDescent="0.3">
      <c r="H14" s="4" t="s">
        <v>28</v>
      </c>
      <c r="I14" s="3">
        <f>C6/C7</f>
        <v>2.333931777378815E-2</v>
      </c>
      <c r="J14" s="3">
        <f>E6/E7</f>
        <v>1.9718309859154931E-2</v>
      </c>
      <c r="K14" s="3">
        <f>G6/G7</f>
        <v>4.0816326530612242E-2</v>
      </c>
      <c r="L14" s="3">
        <f>I6/I7</f>
        <v>2.8530670470756064E-2</v>
      </c>
    </row>
    <row r="15" spans="1:16" x14ac:dyDescent="0.3">
      <c r="H15" t="s">
        <v>14</v>
      </c>
      <c r="I15" s="9">
        <f>SUBTOTAL(109,Tabla3[Huesca])</f>
        <v>1</v>
      </c>
      <c r="J15" s="9">
        <f>SUBTOTAL(109,Tabla3[Teruel])</f>
        <v>1</v>
      </c>
      <c r="K15" s="9">
        <f>SUBTOTAL(109,Tabla3[Zaragoza])</f>
        <v>1</v>
      </c>
      <c r="L15" s="8">
        <f>SUBTOTAL(109,Tabla3[Aragón])</f>
        <v>1</v>
      </c>
    </row>
    <row r="37" spans="1:1" x14ac:dyDescent="0.3">
      <c r="A37" s="1" t="s">
        <v>16</v>
      </c>
    </row>
  </sheetData>
  <mergeCells count="5">
    <mergeCell ref="C2:D2"/>
    <mergeCell ref="E2:F2"/>
    <mergeCell ref="G2:H2"/>
    <mergeCell ref="I2:J2"/>
    <mergeCell ref="H10:L10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89D"/>
  </sheetPr>
  <dimension ref="A1:C8"/>
  <sheetViews>
    <sheetView zoomScale="110" zoomScaleNormal="110" workbookViewId="0">
      <selection activeCell="A15" sqref="A15"/>
    </sheetView>
  </sheetViews>
  <sheetFormatPr baseColWidth="10" defaultRowHeight="16.5" x14ac:dyDescent="0.3"/>
  <cols>
    <col min="1" max="1" width="48.75" style="7" customWidth="1"/>
    <col min="2" max="2" width="10.875" style="7" bestFit="1" customWidth="1"/>
    <col min="3" max="3" width="12.375" style="7" bestFit="1" customWidth="1"/>
    <col min="4" max="16384" width="11" style="7"/>
  </cols>
  <sheetData>
    <row r="1" spans="1:3" x14ac:dyDescent="0.3">
      <c r="A1" s="10" t="s">
        <v>35</v>
      </c>
    </row>
    <row r="2" spans="1:3" x14ac:dyDescent="0.3">
      <c r="A2" s="1" t="s">
        <v>51</v>
      </c>
    </row>
    <row r="3" spans="1:3" x14ac:dyDescent="0.3">
      <c r="A3" s="7" t="s">
        <v>30</v>
      </c>
      <c r="B3" s="7" t="s">
        <v>23</v>
      </c>
      <c r="C3" s="7" t="s">
        <v>31</v>
      </c>
    </row>
    <row r="4" spans="1:3" x14ac:dyDescent="0.3">
      <c r="A4" s="7" t="s">
        <v>32</v>
      </c>
      <c r="B4" s="7">
        <v>30093</v>
      </c>
      <c r="C4" s="7">
        <v>1055684.08</v>
      </c>
    </row>
    <row r="5" spans="1:3" x14ac:dyDescent="0.3">
      <c r="A5" s="7" t="s">
        <v>33</v>
      </c>
      <c r="B5" s="7">
        <v>12298</v>
      </c>
      <c r="C5" s="7">
        <v>0</v>
      </c>
    </row>
    <row r="6" spans="1:3" x14ac:dyDescent="0.3">
      <c r="A6" s="7" t="s">
        <v>34</v>
      </c>
      <c r="B6" s="7">
        <v>3387</v>
      </c>
      <c r="C6" s="7">
        <v>237090</v>
      </c>
    </row>
    <row r="7" spans="1:3" x14ac:dyDescent="0.3">
      <c r="A7" s="7" t="s">
        <v>14</v>
      </c>
      <c r="B7" s="7">
        <f>SUBTOTAL(109,Tabla4[Número])</f>
        <v>45778</v>
      </c>
      <c r="C7" s="7">
        <f>SUBTOTAL(109,Tabla4[Importe])</f>
        <v>1292774.08</v>
      </c>
    </row>
    <row r="8" spans="1:3" x14ac:dyDescent="0.3">
      <c r="A8" s="11" t="s">
        <v>36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D5A5-EB15-4B69-A8BA-CBD7DACB6E96}">
  <sheetPr>
    <tabColor rgb="FF00689D"/>
  </sheetPr>
  <dimension ref="A1:C10"/>
  <sheetViews>
    <sheetView workbookViewId="0">
      <selection activeCell="N27" sqref="N27"/>
    </sheetView>
  </sheetViews>
  <sheetFormatPr baseColWidth="10" defaultRowHeight="16.5" x14ac:dyDescent="0.3"/>
  <sheetData>
    <row r="1" spans="1:3" x14ac:dyDescent="0.3">
      <c r="A1" s="1" t="s">
        <v>52</v>
      </c>
    </row>
    <row r="2" spans="1:3" x14ac:dyDescent="0.3">
      <c r="A2" s="1" t="s">
        <v>53</v>
      </c>
    </row>
    <row r="3" spans="1:3" x14ac:dyDescent="0.3">
      <c r="A3" s="7" t="s">
        <v>54</v>
      </c>
      <c r="B3" s="7" t="s">
        <v>23</v>
      </c>
      <c r="C3" t="s">
        <v>61</v>
      </c>
    </row>
    <row r="4" spans="1:3" x14ac:dyDescent="0.3">
      <c r="A4" s="7" t="s">
        <v>55</v>
      </c>
      <c r="B4" s="7">
        <v>3979</v>
      </c>
      <c r="C4" s="5">
        <f>Tabla5[[#This Row],[Número]]/Tabla5[[#Totals],[Número]]</f>
        <v>0.33754665761791652</v>
      </c>
    </row>
    <row r="5" spans="1:3" x14ac:dyDescent="0.3">
      <c r="A5" s="7" t="s">
        <v>56</v>
      </c>
      <c r="B5" s="7">
        <v>2993</v>
      </c>
      <c r="C5" s="5">
        <f>Tabla5[[#This Row],[Número]]/Tabla5[[#Totals],[Número]]</f>
        <v>0.253902273498473</v>
      </c>
    </row>
    <row r="6" spans="1:3" x14ac:dyDescent="0.3">
      <c r="A6" s="7" t="s">
        <v>57</v>
      </c>
      <c r="B6" s="7">
        <v>2036</v>
      </c>
      <c r="C6" s="5">
        <f>Tabla5[[#This Row],[Número]]/Tabla5[[#Totals],[Número]]</f>
        <v>0.17271801832371902</v>
      </c>
    </row>
    <row r="7" spans="1:3" x14ac:dyDescent="0.3">
      <c r="A7" s="7" t="s">
        <v>58</v>
      </c>
      <c r="B7" s="7">
        <v>1141</v>
      </c>
      <c r="C7" s="5">
        <f>Tabla5[[#This Row],[Número]]/Tabla5[[#Totals],[Número]]</f>
        <v>9.6793349168646084E-2</v>
      </c>
    </row>
    <row r="8" spans="1:3" x14ac:dyDescent="0.3">
      <c r="A8" s="7" t="s">
        <v>59</v>
      </c>
      <c r="B8" s="7">
        <v>501</v>
      </c>
      <c r="C8" s="5">
        <f>Tabla5[[#This Row],[Número]]/Tabla5[[#Totals],[Número]]</f>
        <v>4.2500848320325753E-2</v>
      </c>
    </row>
    <row r="9" spans="1:3" x14ac:dyDescent="0.3">
      <c r="A9" s="7" t="s">
        <v>60</v>
      </c>
      <c r="B9" s="7">
        <v>1138</v>
      </c>
      <c r="C9" s="5">
        <f>Tabla5[[#This Row],[Número]]/Tabla5[[#Totals],[Número]]</f>
        <v>9.6538853070919584E-2</v>
      </c>
    </row>
    <row r="10" spans="1:3" x14ac:dyDescent="0.3">
      <c r="A10" t="s">
        <v>14</v>
      </c>
      <c r="B10" s="14">
        <f>SUBTOTAL(109,Tabla5[Número])</f>
        <v>11788</v>
      </c>
      <c r="C10" s="15">
        <f>SUBTOTAL(109,Tabla5[%])</f>
        <v>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6E2B-C412-4AC5-B96E-42853F4EEB94}">
  <sheetPr>
    <tabColor rgb="FF00689D"/>
  </sheetPr>
  <dimension ref="A1:C11"/>
  <sheetViews>
    <sheetView workbookViewId="0">
      <selection activeCell="C29" sqref="C29"/>
    </sheetView>
  </sheetViews>
  <sheetFormatPr baseColWidth="10" defaultRowHeight="16.5" x14ac:dyDescent="0.3"/>
  <cols>
    <col min="1" max="1" width="50.75" customWidth="1"/>
    <col min="2" max="2" width="16.125" bestFit="1" customWidth="1"/>
    <col min="3" max="3" width="11.625" bestFit="1" customWidth="1"/>
  </cols>
  <sheetData>
    <row r="1" spans="1:3" x14ac:dyDescent="0.3">
      <c r="A1" s="1" t="s">
        <v>62</v>
      </c>
    </row>
    <row r="2" spans="1:3" x14ac:dyDescent="0.3">
      <c r="A2" s="1" t="s">
        <v>63</v>
      </c>
    </row>
    <row r="3" spans="1:3" x14ac:dyDescent="0.3">
      <c r="A3" s="6" t="s">
        <v>64</v>
      </c>
      <c r="B3" s="6" t="s">
        <v>65</v>
      </c>
      <c r="C3" s="6" t="s">
        <v>21</v>
      </c>
    </row>
    <row r="4" spans="1:3" x14ac:dyDescent="0.3">
      <c r="A4" s="6" t="s">
        <v>66</v>
      </c>
      <c r="B4" s="7">
        <v>42922</v>
      </c>
      <c r="C4" s="5">
        <f>Tabla6[[#This Row],[Piezas abatidas ]]/Tabla6[[#Totals],[Piezas abatidas ]]</f>
        <v>0.64115318545074318</v>
      </c>
    </row>
    <row r="5" spans="1:3" x14ac:dyDescent="0.3">
      <c r="A5" s="6" t="s">
        <v>67</v>
      </c>
      <c r="B5" s="7">
        <v>15941</v>
      </c>
      <c r="C5" s="5">
        <f>Tabla6[[#This Row],[Piezas abatidas ]]/Tabla6[[#Totals],[Piezas abatidas ]]</f>
        <v>0.23812084547016207</v>
      </c>
    </row>
    <row r="6" spans="1:3" x14ac:dyDescent="0.3">
      <c r="A6" s="6" t="s">
        <v>68</v>
      </c>
      <c r="B6" s="7">
        <v>4106</v>
      </c>
      <c r="C6" s="5">
        <f>Tabla6[[#This Row],[Piezas abatidas ]]/Tabla6[[#Totals],[Piezas abatidas ]]</f>
        <v>6.1333930838748225E-2</v>
      </c>
    </row>
    <row r="7" spans="1:3" x14ac:dyDescent="0.3">
      <c r="A7" s="6" t="s">
        <v>69</v>
      </c>
      <c r="B7" s="7">
        <v>3642</v>
      </c>
      <c r="C7" s="5">
        <f>Tabla6[[#This Row],[Piezas abatidas ]]/Tabla6[[#Totals],[Piezas abatidas ]]</f>
        <v>5.4402868025991487E-2</v>
      </c>
    </row>
    <row r="8" spans="1:3" x14ac:dyDescent="0.3">
      <c r="A8" s="6" t="s">
        <v>70</v>
      </c>
      <c r="B8" s="7">
        <v>334</v>
      </c>
      <c r="C8" s="5">
        <f>Tabla6[[#This Row],[Piezas abatidas ]]/Tabla6[[#Totals],[Piezas abatidas ]]</f>
        <v>4.9891702143550678E-3</v>
      </c>
    </row>
    <row r="9" spans="1:3" x14ac:dyDescent="0.3">
      <c r="A9" s="6" t="s">
        <v>71</v>
      </c>
      <c r="B9" s="7">
        <v>0</v>
      </c>
      <c r="C9" s="5">
        <f>Tabla6[[#This Row],[Piezas abatidas ]]/Tabla6[[#Totals],[Piezas abatidas ]]</f>
        <v>0</v>
      </c>
    </row>
    <row r="10" spans="1:3" x14ac:dyDescent="0.3">
      <c r="A10" s="6" t="s">
        <v>72</v>
      </c>
      <c r="B10" s="7">
        <v>0</v>
      </c>
      <c r="C10" s="5">
        <f>Tabla6[[#This Row],[Piezas abatidas ]]/Tabla6[[#Totals],[Piezas abatidas ]]</f>
        <v>0</v>
      </c>
    </row>
    <row r="11" spans="1:3" x14ac:dyDescent="0.3">
      <c r="A11" s="13" t="s">
        <v>14</v>
      </c>
      <c r="B11" s="16">
        <f>SUBTOTAL(109,Tabla6[[Piezas abatidas ]])</f>
        <v>66945</v>
      </c>
      <c r="C11" s="18">
        <f>SUBTOTAL(109,Tabla6[Porcentaje])</f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5AF2-F221-4A5A-8E7E-77AC5A3E34DD}">
  <sheetPr>
    <tabColor rgb="FF00689D"/>
  </sheetPr>
  <dimension ref="A1:C17"/>
  <sheetViews>
    <sheetView workbookViewId="0">
      <selection activeCell="A28" sqref="A28"/>
    </sheetView>
  </sheetViews>
  <sheetFormatPr baseColWidth="10" defaultRowHeight="16.5" x14ac:dyDescent="0.3"/>
  <cols>
    <col min="1" max="3" width="47.375" customWidth="1"/>
  </cols>
  <sheetData>
    <row r="1" spans="1:3" x14ac:dyDescent="0.3">
      <c r="A1" s="1" t="s">
        <v>73</v>
      </c>
    </row>
    <row r="2" spans="1:3" x14ac:dyDescent="0.3">
      <c r="A2" s="1" t="s">
        <v>63</v>
      </c>
    </row>
    <row r="3" spans="1:3" x14ac:dyDescent="0.3">
      <c r="A3" t="s">
        <v>64</v>
      </c>
      <c r="B3" t="s">
        <v>65</v>
      </c>
      <c r="C3" t="s">
        <v>21</v>
      </c>
    </row>
    <row r="4" spans="1:3" x14ac:dyDescent="0.3">
      <c r="A4" t="s">
        <v>74</v>
      </c>
      <c r="B4" s="6">
        <v>1105319</v>
      </c>
      <c r="C4" s="5">
        <f>Tabla7[[#This Row],[Piezas abatidas ]]/Tabla7[[#Totals],[Piezas abatidas ]]</f>
        <v>0.59724955448856154</v>
      </c>
    </row>
    <row r="5" spans="1:3" x14ac:dyDescent="0.3">
      <c r="A5" t="s">
        <v>75</v>
      </c>
      <c r="B5" s="6">
        <v>216259</v>
      </c>
      <c r="C5" s="5">
        <f>Tabla7[[#This Row],[Piezas abatidas ]]/Tabla7[[#Totals],[Piezas abatidas ]]</f>
        <v>0.11685367880597532</v>
      </c>
    </row>
    <row r="6" spans="1:3" x14ac:dyDescent="0.3">
      <c r="A6" t="s">
        <v>76</v>
      </c>
      <c r="B6" s="6">
        <v>181347</v>
      </c>
      <c r="C6" s="5">
        <f>Tabla7[[#This Row],[Piezas abatidas ]]/Tabla7[[#Totals],[Piezas abatidas ]]</f>
        <v>9.7989281789091803E-2</v>
      </c>
    </row>
    <row r="7" spans="1:3" x14ac:dyDescent="0.3">
      <c r="A7" t="s">
        <v>77</v>
      </c>
      <c r="B7" s="6">
        <v>125578</v>
      </c>
      <c r="C7" s="5">
        <f>Tabla7[[#This Row],[Piezas abatidas ]]/Tabla7[[#Totals],[Piezas abatidas ]]</f>
        <v>6.7854985351346153E-2</v>
      </c>
    </row>
    <row r="8" spans="1:3" x14ac:dyDescent="0.3">
      <c r="A8" t="s">
        <v>78</v>
      </c>
      <c r="B8" s="6">
        <v>102789</v>
      </c>
      <c r="C8" s="5">
        <f>Tabla7[[#This Row],[Piezas abatidas ]]/Tabla7[[#Totals],[Piezas abatidas ]]</f>
        <v>5.5541146453037316E-2</v>
      </c>
    </row>
    <row r="9" spans="1:3" x14ac:dyDescent="0.3">
      <c r="A9" t="s">
        <v>79</v>
      </c>
      <c r="B9" s="6">
        <v>30580</v>
      </c>
      <c r="C9" s="5">
        <f>Tabla7[[#This Row],[Piezas abatidas ]]/Tabla7[[#Totals],[Piezas abatidas ]]</f>
        <v>1.652363831279496E-2</v>
      </c>
    </row>
    <row r="10" spans="1:3" x14ac:dyDescent="0.3">
      <c r="A10" t="s">
        <v>80</v>
      </c>
      <c r="B10" s="6">
        <v>29323</v>
      </c>
      <c r="C10" s="5">
        <f>Tabla7[[#This Row],[Piezas abatidas ]]/Tabla7[[#Totals],[Piezas abatidas ]]</f>
        <v>1.5844429242841289E-2</v>
      </c>
    </row>
    <row r="11" spans="1:3" x14ac:dyDescent="0.3">
      <c r="A11" t="s">
        <v>81</v>
      </c>
      <c r="B11" s="6">
        <v>22270</v>
      </c>
      <c r="C11" s="5">
        <f>Tabla7[[#This Row],[Piezas abatidas ]]/Tabla7[[#Totals],[Piezas abatidas ]]</f>
        <v>1.2033401740547539E-2</v>
      </c>
    </row>
    <row r="12" spans="1:3" x14ac:dyDescent="0.3">
      <c r="A12" t="s">
        <v>82</v>
      </c>
      <c r="B12" s="6">
        <v>14496</v>
      </c>
      <c r="C12" s="5">
        <f>Tabla7[[#This Row],[Piezas abatidas ]]/Tabla7[[#Totals],[Piezas abatidas ]]</f>
        <v>7.8327881289167994E-3</v>
      </c>
    </row>
    <row r="13" spans="1:3" x14ac:dyDescent="0.3">
      <c r="A13" t="s">
        <v>83</v>
      </c>
      <c r="B13" s="6">
        <v>13016</v>
      </c>
      <c r="C13" s="5">
        <f>Tabla7[[#This Row],[Piezas abatidas ]]/Tabla7[[#Totals],[Piezas abatidas ]]</f>
        <v>7.0330829391543224E-3</v>
      </c>
    </row>
    <row r="14" spans="1:3" x14ac:dyDescent="0.3">
      <c r="A14" t="s">
        <v>84</v>
      </c>
      <c r="B14" s="6">
        <v>8078</v>
      </c>
      <c r="C14" s="5">
        <f>Tabla7[[#This Row],[Piezas abatidas ]]/Tabla7[[#Totals],[Piezas abatidas ]]</f>
        <v>4.3648773803387072E-3</v>
      </c>
    </row>
    <row r="15" spans="1:3" x14ac:dyDescent="0.3">
      <c r="A15" t="s">
        <v>85</v>
      </c>
      <c r="B15" s="6">
        <v>1476</v>
      </c>
      <c r="C15" s="5">
        <f>Tabla7[[#This Row],[Piezas abatidas ]]/Tabla7[[#Totals],[Piezas abatidas ]]</f>
        <v>7.9754382438474033E-4</v>
      </c>
    </row>
    <row r="16" spans="1:3" x14ac:dyDescent="0.3">
      <c r="A16" t="s">
        <v>86</v>
      </c>
      <c r="B16" s="6">
        <v>151</v>
      </c>
      <c r="C16" s="5">
        <f>Tabla7[[#This Row],[Piezas abatidas ]]/Tabla7[[#Totals],[Piezas abatidas ]]</f>
        <v>8.1591543009549989E-5</v>
      </c>
    </row>
    <row r="17" spans="1:3" x14ac:dyDescent="0.3">
      <c r="A17" t="s">
        <v>14</v>
      </c>
      <c r="B17" s="12">
        <f>SUBTOTAL(109,Tabla7[[Piezas abatidas ]])</f>
        <v>1850682</v>
      </c>
      <c r="C17" s="5">
        <f>SUBTOTAL(109,Tabla7[Porcentaje])</f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33FE-1433-4333-BFFD-A478500A2FB7}">
  <sheetPr>
    <tabColor rgb="FF00689D"/>
  </sheetPr>
  <dimension ref="A1:D12"/>
  <sheetViews>
    <sheetView workbookViewId="0">
      <selection activeCell="D26" sqref="D26"/>
    </sheetView>
  </sheetViews>
  <sheetFormatPr baseColWidth="10" defaultRowHeight="16.5" x14ac:dyDescent="0.3"/>
  <cols>
    <col min="1" max="3" width="14.625" customWidth="1"/>
    <col min="4" max="4" width="72.5" customWidth="1"/>
  </cols>
  <sheetData>
    <row r="1" spans="1:4" x14ac:dyDescent="0.3">
      <c r="A1" s="1" t="s">
        <v>102</v>
      </c>
    </row>
    <row r="2" spans="1:4" x14ac:dyDescent="0.3">
      <c r="A2" s="1" t="s">
        <v>103</v>
      </c>
    </row>
    <row r="3" spans="1:4" x14ac:dyDescent="0.3">
      <c r="A3" t="s">
        <v>87</v>
      </c>
      <c r="B3" t="s">
        <v>88</v>
      </c>
      <c r="C3" t="s">
        <v>24</v>
      </c>
      <c r="D3" t="s">
        <v>104</v>
      </c>
    </row>
    <row r="4" spans="1:4" x14ac:dyDescent="0.3">
      <c r="A4" t="s">
        <v>17</v>
      </c>
      <c r="B4" t="s">
        <v>89</v>
      </c>
      <c r="C4" s="7">
        <v>38507</v>
      </c>
      <c r="D4" t="s">
        <v>90</v>
      </c>
    </row>
    <row r="5" spans="1:4" x14ac:dyDescent="0.3">
      <c r="A5" t="s">
        <v>17</v>
      </c>
      <c r="B5" t="s">
        <v>91</v>
      </c>
      <c r="C5" s="7">
        <v>45062</v>
      </c>
      <c r="D5" t="s">
        <v>90</v>
      </c>
    </row>
    <row r="6" spans="1:4" x14ac:dyDescent="0.3">
      <c r="A6" t="s">
        <v>17</v>
      </c>
      <c r="B6" t="s">
        <v>92</v>
      </c>
      <c r="C6" s="7">
        <v>25294</v>
      </c>
      <c r="D6" t="s">
        <v>90</v>
      </c>
    </row>
    <row r="7" spans="1:4" x14ac:dyDescent="0.3">
      <c r="A7" t="s">
        <v>17</v>
      </c>
      <c r="B7" t="s">
        <v>93</v>
      </c>
      <c r="C7" s="7">
        <v>23913</v>
      </c>
      <c r="D7" t="s">
        <v>90</v>
      </c>
    </row>
    <row r="8" spans="1:4" x14ac:dyDescent="0.3">
      <c r="A8" t="s">
        <v>17</v>
      </c>
      <c r="B8" t="s">
        <v>94</v>
      </c>
      <c r="C8" s="7">
        <v>5580</v>
      </c>
      <c r="D8" t="s">
        <v>95</v>
      </c>
    </row>
    <row r="9" spans="1:4" x14ac:dyDescent="0.3">
      <c r="A9" t="s">
        <v>18</v>
      </c>
      <c r="B9" t="s">
        <v>96</v>
      </c>
      <c r="C9" s="7">
        <v>49675</v>
      </c>
      <c r="D9" t="s">
        <v>97</v>
      </c>
    </row>
    <row r="10" spans="1:4" x14ac:dyDescent="0.3">
      <c r="A10" t="s">
        <v>18</v>
      </c>
      <c r="B10" t="s">
        <v>98</v>
      </c>
      <c r="C10" s="7">
        <v>3980</v>
      </c>
      <c r="D10" t="s">
        <v>99</v>
      </c>
    </row>
    <row r="11" spans="1:4" x14ac:dyDescent="0.3">
      <c r="A11" t="s">
        <v>18</v>
      </c>
      <c r="B11" t="s">
        <v>100</v>
      </c>
      <c r="C11" s="7">
        <v>4965</v>
      </c>
      <c r="D11" t="s">
        <v>101</v>
      </c>
    </row>
    <row r="12" spans="1:4" x14ac:dyDescent="0.3">
      <c r="A12" t="s">
        <v>14</v>
      </c>
      <c r="C12" s="7">
        <f>SUBTOTAL(109,Tabla8[Superficie (ha)])</f>
        <v>196976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EC32-9419-4611-B2AE-555133A2F0A2}">
  <sheetPr>
    <tabColor rgb="FF00689D"/>
  </sheetPr>
  <dimension ref="A1:C20"/>
  <sheetViews>
    <sheetView workbookViewId="0">
      <selection activeCell="F27" sqref="F27"/>
    </sheetView>
  </sheetViews>
  <sheetFormatPr baseColWidth="10" defaultRowHeight="16.5" x14ac:dyDescent="0.3"/>
  <cols>
    <col min="1" max="1" width="13.375" customWidth="1"/>
    <col min="2" max="2" width="25.875" bestFit="1" customWidth="1"/>
    <col min="3" max="3" width="16" customWidth="1"/>
  </cols>
  <sheetData>
    <row r="1" spans="1:3" x14ac:dyDescent="0.3">
      <c r="A1" s="1" t="s">
        <v>115</v>
      </c>
    </row>
    <row r="2" spans="1:3" x14ac:dyDescent="0.3">
      <c r="A2" s="1" t="s">
        <v>116</v>
      </c>
    </row>
    <row r="3" spans="1:3" x14ac:dyDescent="0.3">
      <c r="A3" t="s">
        <v>105</v>
      </c>
      <c r="B3" t="s">
        <v>64</v>
      </c>
      <c r="C3" t="s">
        <v>65</v>
      </c>
    </row>
    <row r="4" spans="1:3" x14ac:dyDescent="0.3">
      <c r="A4" t="s">
        <v>106</v>
      </c>
      <c r="B4" t="s">
        <v>69</v>
      </c>
      <c r="C4" s="7">
        <v>325</v>
      </c>
    </row>
    <row r="5" spans="1:3" x14ac:dyDescent="0.3">
      <c r="A5" t="s">
        <v>106</v>
      </c>
      <c r="B5" t="s">
        <v>66</v>
      </c>
      <c r="C5" s="7">
        <v>442</v>
      </c>
    </row>
    <row r="6" spans="1:3" x14ac:dyDescent="0.3">
      <c r="A6" t="s">
        <v>106</v>
      </c>
      <c r="B6" t="s">
        <v>107</v>
      </c>
      <c r="C6" s="7">
        <v>126</v>
      </c>
    </row>
    <row r="7" spans="1:3" x14ac:dyDescent="0.3">
      <c r="A7" t="s">
        <v>106</v>
      </c>
      <c r="B7" t="s">
        <v>67</v>
      </c>
      <c r="C7" s="7">
        <v>160</v>
      </c>
    </row>
    <row r="8" spans="1:3" x14ac:dyDescent="0.3">
      <c r="A8" t="s">
        <v>106</v>
      </c>
      <c r="B8" t="s">
        <v>70</v>
      </c>
      <c r="C8" s="7">
        <v>186</v>
      </c>
    </row>
    <row r="9" spans="1:3" x14ac:dyDescent="0.3">
      <c r="A9" t="s">
        <v>106</v>
      </c>
      <c r="B9" t="s">
        <v>68</v>
      </c>
      <c r="C9" s="7">
        <v>19</v>
      </c>
    </row>
    <row r="10" spans="1:3" x14ac:dyDescent="0.3">
      <c r="A10" t="s">
        <v>106</v>
      </c>
      <c r="B10" t="s">
        <v>108</v>
      </c>
      <c r="C10" s="7">
        <v>1258</v>
      </c>
    </row>
    <row r="11" spans="1:3" x14ac:dyDescent="0.3">
      <c r="A11" t="s">
        <v>109</v>
      </c>
      <c r="B11" t="s">
        <v>76</v>
      </c>
      <c r="C11" s="7">
        <v>1461</v>
      </c>
    </row>
    <row r="12" spans="1:3" x14ac:dyDescent="0.3">
      <c r="A12" t="s">
        <v>109</v>
      </c>
      <c r="B12" t="s">
        <v>110</v>
      </c>
      <c r="C12" s="7">
        <v>10</v>
      </c>
    </row>
    <row r="13" spans="1:3" x14ac:dyDescent="0.3">
      <c r="A13" t="s">
        <v>109</v>
      </c>
      <c r="B13" t="s">
        <v>111</v>
      </c>
      <c r="C13" s="7">
        <v>199</v>
      </c>
    </row>
    <row r="14" spans="1:3" x14ac:dyDescent="0.3">
      <c r="A14" t="s">
        <v>109</v>
      </c>
      <c r="B14" t="s">
        <v>112</v>
      </c>
      <c r="C14" s="7">
        <v>249</v>
      </c>
    </row>
    <row r="15" spans="1:3" x14ac:dyDescent="0.3">
      <c r="A15" t="s">
        <v>109</v>
      </c>
      <c r="B15" t="s">
        <v>79</v>
      </c>
      <c r="C15" s="7">
        <v>110</v>
      </c>
    </row>
    <row r="16" spans="1:3" x14ac:dyDescent="0.3">
      <c r="A16" t="s">
        <v>109</v>
      </c>
      <c r="B16" t="s">
        <v>113</v>
      </c>
      <c r="C16" s="7">
        <v>79</v>
      </c>
    </row>
    <row r="17" spans="1:3" x14ac:dyDescent="0.3">
      <c r="A17" t="s">
        <v>109</v>
      </c>
      <c r="B17" t="s">
        <v>74</v>
      </c>
      <c r="C17" s="7">
        <v>28</v>
      </c>
    </row>
    <row r="18" spans="1:3" x14ac:dyDescent="0.3">
      <c r="A18" t="s">
        <v>109</v>
      </c>
      <c r="B18" t="s">
        <v>83</v>
      </c>
      <c r="C18" s="7">
        <v>23</v>
      </c>
    </row>
    <row r="19" spans="1:3" x14ac:dyDescent="0.3">
      <c r="A19" t="s">
        <v>109</v>
      </c>
      <c r="B19" t="s">
        <v>114</v>
      </c>
      <c r="C19" s="7">
        <v>2159</v>
      </c>
    </row>
    <row r="20" spans="1:3" x14ac:dyDescent="0.3">
      <c r="A20" t="s">
        <v>14</v>
      </c>
      <c r="C20" s="14">
        <f>SUBTOTAL(109,Tabla9[[Piezas abatidas ]])</f>
        <v>6834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21</vt:i4>
      </vt:variant>
    </vt:vector>
  </HeadingPairs>
  <TitlesOfParts>
    <vt:vector size="45" baseType="lpstr">
      <vt:lpstr>ÍNDICE</vt:lpstr>
      <vt:lpstr>Tabla 1.8-1</vt:lpstr>
      <vt:lpstr>Figura 1.8-1</vt:lpstr>
      <vt:lpstr>Tabla 1.8-2</vt:lpstr>
      <vt:lpstr>Figura 1.8-3</vt:lpstr>
      <vt:lpstr>Tabla 1.8-3</vt:lpstr>
      <vt:lpstr>Tabla 1.8-4</vt:lpstr>
      <vt:lpstr>Tabla 1.8-5</vt:lpstr>
      <vt:lpstr>Tabla 1.8-6</vt:lpstr>
      <vt:lpstr>Tabla 1.8-7</vt:lpstr>
      <vt:lpstr>Tabla 1.8-8</vt:lpstr>
      <vt:lpstr>Tabla 1.8-9</vt:lpstr>
      <vt:lpstr>Tabla 1.8-10</vt:lpstr>
      <vt:lpstr>Tabla 1.8-11</vt:lpstr>
      <vt:lpstr>Figura 1.8-7</vt:lpstr>
      <vt:lpstr>Figura 1.8-8</vt:lpstr>
      <vt:lpstr>Figura 1.8-9</vt:lpstr>
      <vt:lpstr>Figura 1.8-10</vt:lpstr>
      <vt:lpstr>Figura 1.8-11</vt:lpstr>
      <vt:lpstr>Tabla 1.8-12</vt:lpstr>
      <vt:lpstr>Tabla 1.8-13</vt:lpstr>
      <vt:lpstr>Figura 1.8-12</vt:lpstr>
      <vt:lpstr>Tabla 1.8-14</vt:lpstr>
      <vt:lpstr>Tabla 1.8-15</vt:lpstr>
      <vt:lpstr>'Tabla 1.8-1'!_Ref213146757</vt:lpstr>
      <vt:lpstr>'Tabla 1.8-3'!_Ref213854375</vt:lpstr>
      <vt:lpstr>'Tabla 1.8-4'!_Ref213854391</vt:lpstr>
      <vt:lpstr>'Figura 1.8-3'!_Toc216182424</vt:lpstr>
      <vt:lpstr>'Figura 1.8-7'!_Toc216182428</vt:lpstr>
      <vt:lpstr>'Figura 1.8-8'!_Toc216182429</vt:lpstr>
      <vt:lpstr>'Figura 1.8-9'!_Toc216182430</vt:lpstr>
      <vt:lpstr>'Figura 1.8-10'!_Toc216182431</vt:lpstr>
      <vt:lpstr>'Figura 1.8-11'!_Toc216182432</vt:lpstr>
      <vt:lpstr>'Figura 1.8-12'!_Toc216182433</vt:lpstr>
      <vt:lpstr>'Tabla 1.8-5'!_Toc216182633</vt:lpstr>
      <vt:lpstr>'Tabla 1.8-6'!_Toc216182634</vt:lpstr>
      <vt:lpstr>'Tabla 1.8-7'!_Toc216182635</vt:lpstr>
      <vt:lpstr>'Tabla 1.8-8'!_Toc216182636</vt:lpstr>
      <vt:lpstr>'Tabla 1.8-9'!_Toc216182637</vt:lpstr>
      <vt:lpstr>'Tabla 1.8-10'!_Toc216182638</vt:lpstr>
      <vt:lpstr>'Tabla 1.8-11'!_Toc216182639</vt:lpstr>
      <vt:lpstr>'Tabla 1.8-12'!_Toc216182640</vt:lpstr>
      <vt:lpstr>'Tabla 1.8-13'!_Toc216182641</vt:lpstr>
      <vt:lpstr>'Tabla 1.8-14'!_Toc216182642</vt:lpstr>
      <vt:lpstr>'Tabla 1.8-15'!_Toc216182643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2026-02-04T16:03:35Z</dcterms:created>
  <dcterms:modified xsi:type="dcterms:W3CDTF">2026-02-04T16:07:13Z</dcterms:modified>
</cp:coreProperties>
</file>