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charts/chart5.xml" ContentType="application/vnd.openxmlformats-officedocument.drawingml.chart+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2.xml" ContentType="application/vnd.openxmlformats-officedocument.spreadsheetml.comments+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charts/chart6.xml" ContentType="application/vnd.openxmlformats-officedocument.drawingml.chart+xml"/>
  <Override PartName="/xl/tables/table15.xml" ContentType="application/vnd.openxmlformats-officedocument.spreadsheetml.table+xml"/>
  <Override PartName="/xl/tables/table16.xml" ContentType="application/vnd.openxmlformats-officedocument.spreadsheetml.table+xml"/>
  <Override PartName="/xl/drawings/drawing6.xml" ContentType="application/vnd.openxmlformats-officedocument.drawing+xml"/>
  <Override PartName="/xl/tables/table17.xml" ContentType="application/vnd.openxmlformats-officedocument.spreadsheetml.table+xml"/>
  <Override PartName="/xl/charts/chart7.xml" ContentType="application/vnd.openxmlformats-officedocument.drawingml.chart+xml"/>
  <Override PartName="/xl/tables/table18.xml" ContentType="application/vnd.openxmlformats-officedocument.spreadsheetml.table+xml"/>
  <Override PartName="/xl/tables/table19.xml" ContentType="application/vnd.openxmlformats-officedocument.spreadsheetml.table+xml"/>
  <Override PartName="/xl/drawings/drawing7.xml" ContentType="application/vnd.openxmlformats-officedocument.drawing+xml"/>
  <Override PartName="/xl/tables/table20.xml" ContentType="application/vnd.openxmlformats-officedocument.spreadsheetml.table+xml"/>
  <Override PartName="/xl/charts/chart8.xml" ContentType="application/vnd.openxmlformats-officedocument.drawingml.chart+xml"/>
  <Override PartName="/xl/tables/table21.xml" ContentType="application/vnd.openxmlformats-officedocument.spreadsheetml.table+xml"/>
  <Override PartName="/xl/tables/table22.xml" ContentType="application/vnd.openxmlformats-officedocument.spreadsheetml.table+xml"/>
  <Override PartName="/xl/drawings/drawing8.xml" ContentType="application/vnd.openxmlformats-officedocument.drawing+xml"/>
  <Override PartName="/xl/tables/table23.xml" ContentType="application/vnd.openxmlformats-officedocument.spreadsheetml.table+xml"/>
  <Override PartName="/xl/charts/chart9.xml" ContentType="application/vnd.openxmlformats-officedocument.drawingml.chart+xml"/>
  <Override PartName="/xl/tables/table24.xml" ContentType="application/vnd.openxmlformats-officedocument.spreadsheetml.table+xml"/>
  <Override PartName="/xl/drawings/drawing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10.xml" ContentType="application/vnd.openxmlformats-officedocument.drawingml.chart+xml"/>
  <Override PartName="/xl/tables/table27.xml" ContentType="application/vnd.openxmlformats-officedocument.spreadsheetml.table+xml"/>
  <Override PartName="/xl/tables/table28.xml" ContentType="application/vnd.openxmlformats-officedocument.spreadsheetml.table+xml"/>
  <Override PartName="/xl/drawings/drawing10.xml" ContentType="application/vnd.openxmlformats-officedocument.drawing+xml"/>
  <Override PartName="/xl/tables/table29.xml" ContentType="application/vnd.openxmlformats-officedocument.spreadsheetml.table+xml"/>
  <Override PartName="/xl/charts/chart11.xml" ContentType="application/vnd.openxmlformats-officedocument.drawingml.chart+xml"/>
  <Override PartName="/xl/drawings/drawing11.xml" ContentType="application/vnd.openxmlformats-officedocument.drawing+xml"/>
  <Override PartName="/xl/tables/table30.xml" ContentType="application/vnd.openxmlformats-officedocument.spreadsheetml.tab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tables/table31.xml" ContentType="application/vnd.openxmlformats-officedocument.spreadsheetml.table+xml"/>
  <Override PartName="/xl/drawings/drawing12.xml" ContentType="application/vnd.openxmlformats-officedocument.drawing+xml"/>
  <Override PartName="/xl/tables/table32.xml" ContentType="application/vnd.openxmlformats-officedocument.spreadsheetml.table+xml"/>
  <Override PartName="/xl/charts/chart13.xml" ContentType="application/vnd.openxmlformats-officedocument.drawingml.chart+xml"/>
  <Override PartName="/xl/tables/table33.xml" ContentType="application/vnd.openxmlformats-officedocument.spreadsheetml.table+xml"/>
  <Override PartName="/xl/drawings/drawing13.xml" ContentType="application/vnd.openxmlformats-officedocument.drawing+xml"/>
  <Override PartName="/xl/tables/table34.xml" ContentType="application/vnd.openxmlformats-officedocument.spreadsheetml.table+xml"/>
  <Override PartName="/xl/charts/chart14.xml" ContentType="application/vnd.openxmlformats-officedocument.drawingml.chart+xml"/>
  <Override PartName="/xl/drawings/drawing14.xml" ContentType="application/vnd.openxmlformats-officedocument.drawing+xml"/>
  <Override PartName="/xl/tables/table35.xml" ContentType="application/vnd.openxmlformats-officedocument.spreadsheetml.table+xml"/>
  <Override PartName="/xl/charts/chart15.xml" ContentType="application/vnd.openxmlformats-officedocument.drawingml.chart+xml"/>
  <Override PartName="/xl/charts/style4.xml" ContentType="application/vnd.ms-office.chartstyle+xml"/>
  <Override PartName="/xl/charts/colors4.xml" ContentType="application/vnd.ms-office.chartcolorsty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15.xml" ContentType="application/vnd.openxmlformats-officedocument.drawing+xml"/>
  <Override PartName="/xl/tables/table40.xml" ContentType="application/vnd.openxmlformats-officedocument.spreadsheetml.table+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charts/style5.xml" ContentType="application/vnd.ms-office.chartstyle+xml"/>
  <Override PartName="/xl/charts/colors5.xml" ContentType="application/vnd.ms-office.chartcolorstyle+xml"/>
  <Override PartName="/xl/tables/table41.xml" ContentType="application/vnd.openxmlformats-officedocument.spreadsheetml.table+xml"/>
  <Override PartName="/xl/drawings/drawing17.xml" ContentType="application/vnd.openxmlformats-officedocument.drawing+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xml"/>
  <Override PartName="/xl/tables/table42.xml" ContentType="application/vnd.openxmlformats-officedocument.spreadsheetml.table+xml"/>
  <Override PartName="/xl/charts/chart19.xml" ContentType="application/vnd.openxmlformats-officedocument.drawingml.chart+xml"/>
  <Override PartName="/xl/tables/table43.xml" ContentType="application/vnd.openxmlformats-officedocument.spreadsheetml.table+xml"/>
  <Override PartName="/xl/drawings/drawing19.xml" ContentType="application/vnd.openxmlformats-officedocument.drawing+xml"/>
  <Override PartName="/xl/tables/table44.xml" ContentType="application/vnd.openxmlformats-officedocument.spreadsheetml.table+xml"/>
  <Override PartName="/xl/charts/chart20.xml" ContentType="application/vnd.openxmlformats-officedocument.drawingml.chart+xml"/>
  <Override PartName="/xl/tables/table45.xml" ContentType="application/vnd.openxmlformats-officedocument.spreadsheetml.table+xml"/>
  <Override PartName="/xl/drawings/drawing20.xml" ContentType="application/vnd.openxmlformats-officedocument.drawing+xml"/>
  <Override PartName="/xl/tables/table46.xml" ContentType="application/vnd.openxmlformats-officedocument.spreadsheetml.table+xml"/>
  <Override PartName="/xl/charts/chart21.xml" ContentType="application/vnd.openxmlformats-officedocument.drawingml.chart+xml"/>
  <Override PartName="/xl/tables/table47.xml" ContentType="application/vnd.openxmlformats-officedocument.spreadsheetml.table+xml"/>
  <Override PartName="/xl/drawings/drawing21.xml" ContentType="application/vnd.openxmlformats-officedocument.drawing+xml"/>
  <Override PartName="/xl/tables/table48.xml" ContentType="application/vnd.openxmlformats-officedocument.spreadsheetml.table+xml"/>
  <Override PartName="/xl/charts/chart22.xml" ContentType="application/vnd.openxmlformats-officedocument.drawingml.chart+xml"/>
  <Override PartName="/xl/tables/table49.xml" ContentType="application/vnd.openxmlformats-officedocument.spreadsheetml.table+xml"/>
  <Override PartName="/xl/drawings/drawing22.xml" ContentType="application/vnd.openxmlformats-officedocument.drawing+xml"/>
  <Override PartName="/xl/tables/table50.xml" ContentType="application/vnd.openxmlformats-officedocument.spreadsheetml.table+xml"/>
  <Override PartName="/xl/charts/chart23.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458937EB-19DB-4DEE-B994-0F0A4A4D61CF}" xr6:coauthVersionLast="47" xr6:coauthVersionMax="47" xr10:uidLastSave="{00000000-0000-0000-0000-000000000000}"/>
  <bookViews>
    <workbookView xWindow="-28920" yWindow="-120" windowWidth="29040" windowHeight="15990" tabRatio="743" xr2:uid="{00000000-000D-0000-FFFF-FFFF00000000}"/>
  </bookViews>
  <sheets>
    <sheet name="Índice" sheetId="1" r:id="rId1"/>
    <sheet name="Tabla 1.5-1" sheetId="61" r:id="rId2"/>
    <sheet name="Tabla 1.5-2" sheetId="74" r:id="rId3"/>
    <sheet name="Figura 1.5-1" sheetId="66" r:id="rId4"/>
    <sheet name="Figura 1.5-2" sheetId="62" r:id="rId5"/>
    <sheet name="Tabla 1.5-3" sheetId="57" r:id="rId6"/>
    <sheet name="Figura 1.5-3" sheetId="4" r:id="rId7"/>
    <sheet name="Tabla 1.5-4" sheetId="5" r:id="rId8"/>
    <sheet name="Figura 1.5-5" sheetId="56" r:id="rId9"/>
    <sheet name="Tabla 1.5-5" sheetId="8" r:id="rId10"/>
    <sheet name="Tabla 1.5-6" sheetId="10" r:id="rId11"/>
    <sheet name="Tabla 1.5-7" sheetId="63" r:id="rId12"/>
    <sheet name=" Tabla 1.5-8" sheetId="11" r:id="rId13"/>
    <sheet name="Tabla 1.5-9" sheetId="12" r:id="rId14"/>
    <sheet name="Figura 1.5-6" sheetId="13" r:id="rId15"/>
    <sheet name="Tabla 1.5-10" sheetId="15" r:id="rId16"/>
    <sheet name="Tabla 1.5-11" sheetId="16" r:id="rId17"/>
    <sheet name="Figura 1.5-8" sheetId="17" r:id="rId18"/>
    <sheet name="Tabla 1.5-12" sheetId="19" r:id="rId19"/>
    <sheet name="Tabla 1.5-13" sheetId="20" r:id="rId20"/>
    <sheet name="Figura 1.5-11" sheetId="21" r:id="rId21"/>
    <sheet name=" Tabla 1.5-14" sheetId="22" r:id="rId22"/>
    <sheet name="Tabla 1.5-15" sheetId="23" r:id="rId23"/>
    <sheet name="Figura 1.5-12" sheetId="24" r:id="rId24"/>
    <sheet name="Tabla 1.5-16" sheetId="25" r:id="rId25"/>
    <sheet name="Figura 1.5-13" sheetId="26" r:id="rId26"/>
    <sheet name="Tabla 1.5-17" sheetId="27" r:id="rId27"/>
    <sheet name="Tabla 1.5-18" sheetId="28" r:id="rId28"/>
    <sheet name="Figura 1.5-14" sheetId="29" r:id="rId29"/>
    <sheet name="Tabla 1.5-19" sheetId="30" r:id="rId30"/>
    <sheet name="Figura 1.5-15" sheetId="32" r:id="rId31"/>
    <sheet name="Tabla 1.5.20" sheetId="33" r:id="rId32"/>
    <sheet name="Figura 1.5-16" sheetId="34" r:id="rId33"/>
    <sheet name="Tabla 1.5-21" sheetId="38" r:id="rId34"/>
    <sheet name="Figura 1.5-17" sheetId="36" r:id="rId35"/>
    <sheet name="Figura 1.5-18" sheetId="37" r:id="rId36"/>
    <sheet name="Tabla 1.5-22" sheetId="40" r:id="rId37"/>
    <sheet name="Tabla 1.5-23" sheetId="41" r:id="rId38"/>
    <sheet name="Tabla 1.5-24" sheetId="42" r:id="rId39"/>
    <sheet name="Tabla 1.5-25" sheetId="75" r:id="rId40"/>
    <sheet name="Figura 1.5-19" sheetId="43" r:id="rId41"/>
    <sheet name="Tabla 1.5-26" sheetId="65" r:id="rId42"/>
    <sheet name="Tabla 1.5-27" sheetId="64" r:id="rId43"/>
    <sheet name="Figura 1.5-20" sheetId="69" r:id="rId44"/>
    <sheet name="Figura 1.5-21" sheetId="45" r:id="rId45"/>
    <sheet name="Tabla 1.5-28" sheetId="46" r:id="rId46"/>
    <sheet name="Figura 1.5-22" sheetId="47" r:id="rId47"/>
    <sheet name="Tabla 1.5-29" sheetId="48" r:id="rId48"/>
    <sheet name="Figura 1.5-23" sheetId="49" r:id="rId49"/>
    <sheet name="Tabla 1.5-30" sheetId="50" r:id="rId50"/>
    <sheet name="Figura 1.5-24" sheetId="51" r:id="rId51"/>
    <sheet name="Tabla 1.5-31" sheetId="52" r:id="rId52"/>
    <sheet name="Figura 1.5-25" sheetId="53" r:id="rId53"/>
    <sheet name="Tabla 1.5-31 a 49" sheetId="54" r:id="rId54"/>
    <sheet name="Tabla 1.5-50 a 70 " sheetId="55" r:id="rId55"/>
  </sheets>
  <definedNames>
    <definedName name="__xlfn_SUMIFS">NA()</definedName>
    <definedName name="_1___Acero">#REF!</definedName>
    <definedName name="_1___Aluminio">#REF!</definedName>
    <definedName name="_1___CB">#REF!</definedName>
    <definedName name="_1___OP">#REF!</definedName>
    <definedName name="_1___P_C" localSheetId="43">#REF!</definedName>
    <definedName name="_1___P_C" localSheetId="41">#REF!</definedName>
    <definedName name="_1___P_C">#REF!</definedName>
    <definedName name="_1___PEAD">#REF!</definedName>
    <definedName name="_1___PEBD">#REF!</definedName>
    <definedName name="_1___PET">#REF!</definedName>
    <definedName name="_1___PVC" localSheetId="43">#REF!</definedName>
    <definedName name="_1___PVC" localSheetId="41">#REF!</definedName>
    <definedName name="_1___PVC">#REF!</definedName>
    <definedName name="_1_Acero" localSheetId="43">#REF!</definedName>
    <definedName name="_1_Acero" localSheetId="41">#REF!</definedName>
    <definedName name="_1_Acero">#REF!</definedName>
    <definedName name="_1_Aluminio" localSheetId="43">#REF!</definedName>
    <definedName name="_1_Aluminio" localSheetId="41">#REF!</definedName>
    <definedName name="_1_Aluminio">#REF!</definedName>
    <definedName name="_1_CB" localSheetId="43">#REF!</definedName>
    <definedName name="_1_CB" localSheetId="41">#REF!</definedName>
    <definedName name="_1_CB">#REF!</definedName>
    <definedName name="_1_OP" localSheetId="43">#REF!</definedName>
    <definedName name="_1_OP" localSheetId="41">#REF!</definedName>
    <definedName name="_1_OP">#REF!</definedName>
    <definedName name="_1_P_C">#REF!</definedName>
    <definedName name="_1_PEAD" localSheetId="43">#REF!</definedName>
    <definedName name="_1_PEAD" localSheetId="41">#REF!</definedName>
    <definedName name="_1_PEAD">#REF!</definedName>
    <definedName name="_1_PEBD" localSheetId="43">#REF!</definedName>
    <definedName name="_1_PEBD" localSheetId="41">#REF!</definedName>
    <definedName name="_1_PEBD">#REF!</definedName>
    <definedName name="_1_PET" localSheetId="43">#REF!</definedName>
    <definedName name="_1_PET" localSheetId="41">#REF!</definedName>
    <definedName name="_1_PET">#REF!</definedName>
    <definedName name="_1_PVC" localSheetId="43">#REF!</definedName>
    <definedName name="_1_PVC" localSheetId="41">#REF!</definedName>
    <definedName name="_1_PVC">#REF!</definedName>
    <definedName name="_10__123Graph_CGRAFICO_10" localSheetId="43">#REF!</definedName>
    <definedName name="_10__123Graph_CGRAFICO_10" localSheetId="41">#REF!</definedName>
    <definedName name="_10__123Graph_CGRAFICO_10">#REF!</definedName>
    <definedName name="_12__123Graph_CGRAFICO_11" localSheetId="43">#REF!</definedName>
    <definedName name="_12__123Graph_CGRAFICO_11" localSheetId="41">#REF!</definedName>
    <definedName name="_12__123Graph_CGRAFICO_11">#REF!</definedName>
    <definedName name="_14__123Graph_DGRAFICO_10" localSheetId="43">#REF!</definedName>
    <definedName name="_14__123Graph_DGRAFICO_10" localSheetId="41">#REF!</definedName>
    <definedName name="_14__123Graph_DGRAFICO_10">#REF!</definedName>
    <definedName name="_16__123Graph_DGRAFICO_11" localSheetId="43">#REF!</definedName>
    <definedName name="_16__123Graph_DGRAFICO_11" localSheetId="41">#REF!</definedName>
    <definedName name="_16__123Graph_DGRAFICO_11">#REF!</definedName>
    <definedName name="_17__123Graph_XGRAFICO_11">#REF!</definedName>
    <definedName name="_2___Acero">#REF!</definedName>
    <definedName name="_2___Aluminio">#REF!</definedName>
    <definedName name="_2___CB">#REF!</definedName>
    <definedName name="_2___OP">#REF!</definedName>
    <definedName name="_2___P_C" localSheetId="43">#REF!</definedName>
    <definedName name="_2___P_C" localSheetId="41">#REF!</definedName>
    <definedName name="_2___P_C">#REF!</definedName>
    <definedName name="_2___PEAD">#REF!</definedName>
    <definedName name="_2___PEBD">#REF!</definedName>
    <definedName name="_2___PET">#REF!</definedName>
    <definedName name="_2___PVC" localSheetId="43">#REF!</definedName>
    <definedName name="_2___PVC" localSheetId="41">#REF!</definedName>
    <definedName name="_2___PVC">#REF!</definedName>
    <definedName name="_2__123Graph_AGRAFICO_10" localSheetId="43">#REF!</definedName>
    <definedName name="_2__123Graph_AGRAFICO_10" localSheetId="41">#REF!</definedName>
    <definedName name="_2__123Graph_AGRAFICO_10">#REF!</definedName>
    <definedName name="_2_Acero" localSheetId="43">#REF!</definedName>
    <definedName name="_2_Acero" localSheetId="41">#REF!</definedName>
    <definedName name="_2_Acero">#REF!</definedName>
    <definedName name="_2_Aluminio" localSheetId="43">#REF!</definedName>
    <definedName name="_2_Aluminio" localSheetId="41">#REF!</definedName>
    <definedName name="_2_Aluminio">#REF!</definedName>
    <definedName name="_2_CB" localSheetId="43">#REF!</definedName>
    <definedName name="_2_CB" localSheetId="41">#REF!</definedName>
    <definedName name="_2_CB">#REF!</definedName>
    <definedName name="_2_OP" localSheetId="43">#REF!</definedName>
    <definedName name="_2_OP" localSheetId="41">#REF!</definedName>
    <definedName name="_2_OP">#REF!</definedName>
    <definedName name="_2_P_C">#REF!</definedName>
    <definedName name="_2_PEAD" localSheetId="43">#REF!</definedName>
    <definedName name="_2_PEAD" localSheetId="41">#REF!</definedName>
    <definedName name="_2_PEAD">#REF!</definedName>
    <definedName name="_2_PEBD" localSheetId="43">#REF!</definedName>
    <definedName name="_2_PEBD" localSheetId="41">#REF!</definedName>
    <definedName name="_2_PEBD">#REF!</definedName>
    <definedName name="_2_PET" localSheetId="43">#REF!</definedName>
    <definedName name="_2_PET" localSheetId="41">#REF!</definedName>
    <definedName name="_2_PET">#REF!</definedName>
    <definedName name="_2_PVC" localSheetId="43">#REF!</definedName>
    <definedName name="_2_PVC" localSheetId="41">#REF!</definedName>
    <definedName name="_2_PVC">#REF!</definedName>
    <definedName name="_3___Acero">#REF!</definedName>
    <definedName name="_3___Aluminio">#REF!</definedName>
    <definedName name="_3___CB">#REF!</definedName>
    <definedName name="_3___OP">#REF!</definedName>
    <definedName name="_3___PEAD">#REF!</definedName>
    <definedName name="_3___PEBD">#REF!</definedName>
    <definedName name="_3___PET">#REF!</definedName>
    <definedName name="_3___PVC" localSheetId="43">#REF!</definedName>
    <definedName name="_3___PVC" localSheetId="41">#REF!</definedName>
    <definedName name="_3___PVC">#REF!</definedName>
    <definedName name="_3_Acero" localSheetId="43">#REF!</definedName>
    <definedName name="_3_Acero" localSheetId="41">#REF!</definedName>
    <definedName name="_3_Acero">#REF!</definedName>
    <definedName name="_3_Aluminio" localSheetId="43">#REF!</definedName>
    <definedName name="_3_Aluminio" localSheetId="41">#REF!</definedName>
    <definedName name="_3_Aluminio">#REF!</definedName>
    <definedName name="_3_CB" localSheetId="43">#REF!</definedName>
    <definedName name="_3_CB" localSheetId="41">#REF!</definedName>
    <definedName name="_3_CB">#REF!</definedName>
    <definedName name="_3_OP" localSheetId="43">#REF!</definedName>
    <definedName name="_3_OP" localSheetId="41">#REF!</definedName>
    <definedName name="_3_OP">#REF!</definedName>
    <definedName name="_3_P_C">#REF!</definedName>
    <definedName name="_3_PEAD" localSheetId="43">#REF!</definedName>
    <definedName name="_3_PEAD" localSheetId="41">#REF!</definedName>
    <definedName name="_3_PEAD">#REF!</definedName>
    <definedName name="_3_PEBD" localSheetId="43">#REF!</definedName>
    <definedName name="_3_PEBD" localSheetId="41">#REF!</definedName>
    <definedName name="_3_PEBD">#REF!</definedName>
    <definedName name="_3_PET" localSheetId="43">#REF!</definedName>
    <definedName name="_3_PET" localSheetId="41">#REF!</definedName>
    <definedName name="_3_PET">#REF!</definedName>
    <definedName name="_3_PVC" localSheetId="43">#REF!</definedName>
    <definedName name="_3_PVC" localSheetId="41">#REF!</definedName>
    <definedName name="_3_PVC">#REF!</definedName>
    <definedName name="_4___Acero">#REF!</definedName>
    <definedName name="_4___Aluminio">#REF!</definedName>
    <definedName name="_4___CB">#REF!</definedName>
    <definedName name="_4___OP">#REF!</definedName>
    <definedName name="_4___P_C" localSheetId="43">#REF!</definedName>
    <definedName name="_4___P_C" localSheetId="41">#REF!</definedName>
    <definedName name="_4___P_C">#REF!</definedName>
    <definedName name="_4___PEAD">#REF!</definedName>
    <definedName name="_4___PEBD">#REF!</definedName>
    <definedName name="_4___PET">#REF!</definedName>
    <definedName name="_4___PVC" localSheetId="43">#REF!</definedName>
    <definedName name="_4___PVC" localSheetId="41">#REF!</definedName>
    <definedName name="_4___PVC">#REF!</definedName>
    <definedName name="_4__123Graph_AGRAFICO_11" localSheetId="43">#REF!</definedName>
    <definedName name="_4__123Graph_AGRAFICO_11" localSheetId="41">#REF!</definedName>
    <definedName name="_4__123Graph_AGRAFICO_11">#REF!</definedName>
    <definedName name="_4_Acero" localSheetId="43">#REF!</definedName>
    <definedName name="_4_Acero" localSheetId="41">#REF!</definedName>
    <definedName name="_4_Acero">#REF!</definedName>
    <definedName name="_4_Aluminio" localSheetId="43">#REF!</definedName>
    <definedName name="_4_Aluminio" localSheetId="41">#REF!</definedName>
    <definedName name="_4_Aluminio">#REF!</definedName>
    <definedName name="_4_CB" localSheetId="43">#REF!</definedName>
    <definedName name="_4_CB" localSheetId="41">#REF!</definedName>
    <definedName name="_4_CB">#REF!</definedName>
    <definedName name="_4_OP" localSheetId="43">#REF!</definedName>
    <definedName name="_4_OP" localSheetId="41">#REF!</definedName>
    <definedName name="_4_OP">#REF!</definedName>
    <definedName name="_4_P_C">#REF!</definedName>
    <definedName name="_4_PEAD" localSheetId="43">#REF!</definedName>
    <definedName name="_4_PEAD" localSheetId="41">#REF!</definedName>
    <definedName name="_4_PEAD">#REF!</definedName>
    <definedName name="_4_PEBD" localSheetId="43">#REF!</definedName>
    <definedName name="_4_PEBD" localSheetId="41">#REF!</definedName>
    <definedName name="_4_PEBD">#REF!</definedName>
    <definedName name="_4_PET" localSheetId="43">#REF!</definedName>
    <definedName name="_4_PET" localSheetId="41">#REF!</definedName>
    <definedName name="_4_PET">#REF!</definedName>
    <definedName name="_4_PVC" localSheetId="43">#REF!</definedName>
    <definedName name="_4_PVC" localSheetId="41">#REF!</definedName>
    <definedName name="_4_PVC">#REF!</definedName>
    <definedName name="_5___Acero">#REF!</definedName>
    <definedName name="_5___Aluminio">#REF!</definedName>
    <definedName name="_5___CB">#REF!</definedName>
    <definedName name="_5___OP">#REF!</definedName>
    <definedName name="_5___PEAD">#REF!</definedName>
    <definedName name="_5___PEBD">#REF!</definedName>
    <definedName name="_5___PET">#REF!</definedName>
    <definedName name="_5___PVC" localSheetId="43">#REF!</definedName>
    <definedName name="_5___PVC" localSheetId="41">#REF!</definedName>
    <definedName name="_5___PVC">#REF!</definedName>
    <definedName name="_5_Acero" localSheetId="43">#REF!</definedName>
    <definedName name="_5_Acero" localSheetId="41">#REF!</definedName>
    <definedName name="_5_Acero">#REF!</definedName>
    <definedName name="_5_Aluminio" localSheetId="43">#REF!</definedName>
    <definedName name="_5_Aluminio" localSheetId="41">#REF!</definedName>
    <definedName name="_5_Aluminio">#REF!</definedName>
    <definedName name="_5_CB" localSheetId="43">#REF!</definedName>
    <definedName name="_5_CB" localSheetId="41">#REF!</definedName>
    <definedName name="_5_CB">#REF!</definedName>
    <definedName name="_5_OP" localSheetId="43">#REF!</definedName>
    <definedName name="_5_OP" localSheetId="41">#REF!</definedName>
    <definedName name="_5_OP">#REF!</definedName>
    <definedName name="_5_PEAD" localSheetId="43">#REF!</definedName>
    <definedName name="_5_PEAD" localSheetId="41">#REF!</definedName>
    <definedName name="_5_PEAD">#REF!</definedName>
    <definedName name="_5_PEBD" localSheetId="43">#REF!</definedName>
    <definedName name="_5_PEBD" localSheetId="41">#REF!</definedName>
    <definedName name="_5_PEBD">#REF!</definedName>
    <definedName name="_5_PET" localSheetId="43">#REF!</definedName>
    <definedName name="_5_PET" localSheetId="41">#REF!</definedName>
    <definedName name="_5_PET">#REF!</definedName>
    <definedName name="_5_PVC" localSheetId="43">#REF!</definedName>
    <definedName name="_5_PVC" localSheetId="41">#REF!</definedName>
    <definedName name="_5_PVC">#REF!</definedName>
    <definedName name="_6___Acero">#REF!</definedName>
    <definedName name="_6___Aluminio">#REF!</definedName>
    <definedName name="_6___CB">#REF!</definedName>
    <definedName name="_6___OP">#REF!</definedName>
    <definedName name="_6___PEAD">#REF!</definedName>
    <definedName name="_6___PEBD">#REF!</definedName>
    <definedName name="_6___PET">#REF!</definedName>
    <definedName name="_6___PVC" localSheetId="43">#REF!</definedName>
    <definedName name="_6___PVC" localSheetId="41">#REF!</definedName>
    <definedName name="_6___PVC">#REF!</definedName>
    <definedName name="_6__123Graph_BGRAFICO_10" localSheetId="43">#REF!</definedName>
    <definedName name="_6__123Graph_BGRAFICO_10" localSheetId="41">#REF!</definedName>
    <definedName name="_6__123Graph_BGRAFICO_10">#REF!</definedName>
    <definedName name="_6_Acero" localSheetId="43">#REF!</definedName>
    <definedName name="_6_Acero" localSheetId="41">#REF!</definedName>
    <definedName name="_6_Acero">#REF!</definedName>
    <definedName name="_6_Aluminio" localSheetId="43">#REF!</definedName>
    <definedName name="_6_Aluminio" localSheetId="41">#REF!</definedName>
    <definedName name="_6_Aluminio">#REF!</definedName>
    <definedName name="_6_CB" localSheetId="43">#REF!</definedName>
    <definedName name="_6_CB" localSheetId="41">#REF!</definedName>
    <definedName name="_6_CB">#REF!</definedName>
    <definedName name="_6_OP" localSheetId="43">#REF!</definedName>
    <definedName name="_6_OP" localSheetId="41">#REF!</definedName>
    <definedName name="_6_OP">#REF!</definedName>
    <definedName name="_6_PEAD" localSheetId="43">#REF!</definedName>
    <definedName name="_6_PEAD" localSheetId="41">#REF!</definedName>
    <definedName name="_6_PEAD">#REF!</definedName>
    <definedName name="_6_PEBD" localSheetId="43">#REF!</definedName>
    <definedName name="_6_PEBD" localSheetId="41">#REF!</definedName>
    <definedName name="_6_PEBD">#REF!</definedName>
    <definedName name="_6_PET" localSheetId="43">#REF!</definedName>
    <definedName name="_6_PET" localSheetId="41">#REF!</definedName>
    <definedName name="_6_PET">#REF!</definedName>
    <definedName name="_6_PVC" localSheetId="43">#REF!</definedName>
    <definedName name="_6_PVC" localSheetId="41">#REF!</definedName>
    <definedName name="_6_PVC">#REF!</definedName>
    <definedName name="_8__123Graph_BGRAFICO_11" localSheetId="43">#REF!</definedName>
    <definedName name="_8__123Graph_BGRAFICO_11" localSheetId="41">#REF!</definedName>
    <definedName name="_8__123Graph_BGRAFICO_11">#REF!</definedName>
    <definedName name="_ACE2" localSheetId="43">#REF!</definedName>
    <definedName name="_ACE2" localSheetId="41">#REF!</definedName>
    <definedName name="_ACE2">#REF!</definedName>
    <definedName name="_xlnm._FilterDatabase" localSheetId="35" hidden="1">'Figura 1.5-18'!$A$3:$D$3</definedName>
    <definedName name="_OP2">#REF!</definedName>
    <definedName name="_Order1">255</definedName>
    <definedName name="_Order2">255</definedName>
    <definedName name="_PET2" localSheetId="43">#REF!</definedName>
    <definedName name="_PET2" localSheetId="41">#REF!</definedName>
    <definedName name="_PET2">#REF!</definedName>
    <definedName name="_PET3">#REF!</definedName>
    <definedName name="_PVC2" localSheetId="43">#REF!</definedName>
    <definedName name="_PVC2" localSheetId="41">#REF!</definedName>
    <definedName name="_PVC2">#REF!</definedName>
    <definedName name="_PVC3">#REF!</definedName>
    <definedName name="_R">#REF!</definedName>
    <definedName name="_Ref179889601" localSheetId="1">'Tabla 1.5-1'!$A$1</definedName>
    <definedName name="_Ref179892365" localSheetId="7">'Tabla 1.5-4'!$A$1</definedName>
    <definedName name="_Ref179893536" localSheetId="9">'Tabla 1.5-5'!$A$1</definedName>
    <definedName name="_Ref179894358" localSheetId="10">'Tabla 1.5-6'!$A$1</definedName>
    <definedName name="_Ref179894606" localSheetId="11">'Tabla 1.5-7'!$A$1</definedName>
    <definedName name="_Ref179894826" localSheetId="12">' Tabla 1.5-8'!$A$1</definedName>
    <definedName name="_Ref179894939" localSheetId="13">'Tabla 1.5-9'!$A$1</definedName>
    <definedName name="_Ref179895490" localSheetId="15">'Tabla 1.5-10'!$A$1</definedName>
    <definedName name="_Ref179895693" localSheetId="16">'Tabla 1.5-11'!$A$1</definedName>
    <definedName name="_Ref179897162" localSheetId="21">' Tabla 1.5-14'!$A$1</definedName>
    <definedName name="_Ref179897271" localSheetId="22">'Tabla 1.5-15'!$A$1</definedName>
    <definedName name="_Ref179897839" localSheetId="24">'Tabla 1.5-16'!$A$1</definedName>
    <definedName name="_Ref179899358" localSheetId="26">'Tabla 1.5-17'!$A$1</definedName>
    <definedName name="_Ref179899563" localSheetId="27">'Tabla 1.5-18'!$A$1</definedName>
    <definedName name="_Ref179968444" localSheetId="29">'Tabla 1.5-19'!$A$1</definedName>
    <definedName name="_Ref179972737" localSheetId="31">'Tabla 1.5.20'!$A$1</definedName>
    <definedName name="_Ref179973229" localSheetId="33">'Tabla 1.5-21'!$A$1</definedName>
    <definedName name="_Ref179976263" localSheetId="36">'Tabla 1.5-22'!$A$1</definedName>
    <definedName name="_Ref179976453" localSheetId="37">'Tabla 1.5-23'!$A$1</definedName>
    <definedName name="_Ref179976723" localSheetId="38">'Tabla 1.5-24'!$A$1</definedName>
    <definedName name="_Ref179979306" localSheetId="41">'Tabla 1.5-26'!$A$1</definedName>
    <definedName name="_Ref179979534" localSheetId="42">'Tabla 1.5-27'!$A$1</definedName>
    <definedName name="_Ref179981713" localSheetId="45">'Tabla 1.5-28'!$A$1</definedName>
    <definedName name="_Ref179982905" localSheetId="51">'Tabla 1.5-31'!$A$1</definedName>
    <definedName name="_Ref214623438" localSheetId="2">'Tabla 1.5-2'!$A$1</definedName>
    <definedName name="_Ref214623474" localSheetId="3">'Figura 1.5-1'!$A$1</definedName>
    <definedName name="_Ref214623508" localSheetId="4">'Figura 1.5-2'!$A$1</definedName>
    <definedName name="_Ref214623541" localSheetId="6">'Figura 1.5-3'!$A$1</definedName>
    <definedName name="_Ref214623790" localSheetId="8">'Figura 1.5-5'!$A$1</definedName>
    <definedName name="_Ref214623837" localSheetId="14">'Figura 1.5-6'!$A$1</definedName>
    <definedName name="_Ref214623872" localSheetId="17">'Figura 1.5-8'!$A$1</definedName>
    <definedName name="_Ref214623993" localSheetId="20">'Figura 1.5-11'!$A$1</definedName>
    <definedName name="_Ref214624021" localSheetId="23">'Figura 1.5-12'!$A$1</definedName>
    <definedName name="_Ref214624054" localSheetId="25">'Figura 1.5-13'!$A$1</definedName>
    <definedName name="_Ref214624091" localSheetId="28">'Figura 1.5-14'!$A$1</definedName>
    <definedName name="_Ref214624313" localSheetId="34">'Figura 1.5-17'!$A$1</definedName>
    <definedName name="_Ref214624343" localSheetId="35">'Figura 1.5-18'!$A$1</definedName>
    <definedName name="_Ref214624428" localSheetId="40">'Figura 1.5-19'!$A$1</definedName>
    <definedName name="_Ref214624681" localSheetId="44">'Figura 1.5-21'!$A$1</definedName>
    <definedName name="_Ref214624753" localSheetId="50">'Figura 1.5-24'!$A$1</definedName>
    <definedName name="_Ref214624771" localSheetId="52">'Figura 1.5-25'!$A$1</definedName>
    <definedName name="_Ref216175082" localSheetId="49">'Tabla 1.5-30'!$A$1</definedName>
    <definedName name="_Toc215660248" localSheetId="5">'Tabla 1.5-3'!$A$1</definedName>
    <definedName name="_Toc215660257" localSheetId="18">'Tabla 1.5-12'!$A$1</definedName>
    <definedName name="_Toc215660258" localSheetId="19">'Tabla 1.5-13'!$A$1</definedName>
    <definedName name="_Toc215833447" localSheetId="30">'Figura 1.5-15'!$A$1</definedName>
    <definedName name="_Toc215833448" localSheetId="32">'Figura 1.5-16'!$A$1</definedName>
    <definedName name="_Toc216170645" localSheetId="43">'Figura 1.5-20'!$A$1</definedName>
    <definedName name="_Toc216170647" localSheetId="46">'Figura 1.5-22'!$A$1</definedName>
    <definedName name="_Toc216170648" localSheetId="48">'Figura 1.5-23'!$A$1</definedName>
    <definedName name="_Toc216170811" localSheetId="39">'Tabla 1.5-25'!$A$1</definedName>
    <definedName name="_Toc216170815" localSheetId="47">'Tabla 1.5-29'!$A$1</definedName>
    <definedName name="_Toc216170818" localSheetId="53">'Tabla 1.5-31 a 49'!$A$4</definedName>
    <definedName name="_Toc216170819" localSheetId="53">'Tabla 1.5-31 a 49'!#REF!</definedName>
    <definedName name="_Toc216170821" localSheetId="53">'Tabla 1.5-31 a 49'!#REF!</definedName>
    <definedName name="a1_" localSheetId="43">#REF!</definedName>
    <definedName name="a1_" localSheetId="41">#REF!</definedName>
    <definedName name="a1_">#REF!</definedName>
    <definedName name="a2_" localSheetId="43">#REF!</definedName>
    <definedName name="a2_" localSheetId="41">#REF!</definedName>
    <definedName name="a2_">#REF!</definedName>
    <definedName name="a3_" localSheetId="43">#REF!</definedName>
    <definedName name="a3_" localSheetId="41">#REF!</definedName>
    <definedName name="a3_">#REF!</definedName>
    <definedName name="a4_" localSheetId="43">#REF!</definedName>
    <definedName name="a4_" localSheetId="41">#REF!</definedName>
    <definedName name="a4_">#REF!</definedName>
    <definedName name="aaa" localSheetId="30">{"'REV981'!$B$36:$F$52"}</definedName>
    <definedName name="aaa" localSheetId="44">{"'REV981'!$B$36:$F$52"}</definedName>
    <definedName name="aaa" localSheetId="50">{"'REV981'!$B$36:$F$52"}</definedName>
    <definedName name="aaa" localSheetId="14">{"'REV981'!$B$36:$F$52"}</definedName>
    <definedName name="aaa" localSheetId="31">{"'REV981'!$B$36:$F$52"}</definedName>
    <definedName name="aaa" localSheetId="41">{"'REV981'!$B$36:$F$52"}</definedName>
    <definedName name="aaa" localSheetId="45">{"'REV981'!$B$36:$F$52"}</definedName>
    <definedName name="aaa" localSheetId="47">{"'REV981'!$B$36:$F$52"}</definedName>
    <definedName name="aaa" localSheetId="7">{"'REV981'!$B$36:$F$52"}</definedName>
    <definedName name="aaa">{"'REV981'!$B$36:$F$52"}</definedName>
    <definedName name="Ace" localSheetId="43">#REF!</definedName>
    <definedName name="Ace" localSheetId="41">#REF!</definedName>
    <definedName name="Ace">#REF!</definedName>
    <definedName name="Acero" localSheetId="43">#REF!</definedName>
    <definedName name="Acero" localSheetId="41">#REF!</definedName>
    <definedName name="Acero">#REF!</definedName>
    <definedName name="Acero_2" localSheetId="43">#REF!</definedName>
    <definedName name="Acero_2" localSheetId="41">#REF!</definedName>
    <definedName name="Acero_2">#REF!</definedName>
    <definedName name="Acero_no_envase_2" localSheetId="43">#REF!</definedName>
    <definedName name="Acero_no_envase_2" localSheetId="41">#REF!</definedName>
    <definedName name="Acero_no_envase_2">#REF!</definedName>
    <definedName name="Acero2" localSheetId="43">#REF!</definedName>
    <definedName name="Acero2" localSheetId="41">#REF!</definedName>
    <definedName name="Acero2">#REF!</definedName>
    <definedName name="Acero3">#REF!</definedName>
    <definedName name="Ale" localSheetId="43">#REF!</definedName>
    <definedName name="Ale" localSheetId="41">#REF!</definedName>
    <definedName name="Ale">#REF!</definedName>
    <definedName name="Alternativa" localSheetId="43">#REF!</definedName>
    <definedName name="Alternativa" localSheetId="41">#REF!</definedName>
    <definedName name="Alternativa">#REF!</definedName>
    <definedName name="Aluminio" localSheetId="43">#REF!</definedName>
    <definedName name="Aluminio" localSheetId="41">#REF!</definedName>
    <definedName name="Aluminio">#REF!</definedName>
    <definedName name="Aluminio_2" localSheetId="43">#REF!</definedName>
    <definedName name="Aluminio_2" localSheetId="41">#REF!</definedName>
    <definedName name="Aluminio_2">#REF!</definedName>
    <definedName name="Aluminio_no_envase_2" localSheetId="43">#REF!</definedName>
    <definedName name="Aluminio_no_envase_2" localSheetId="41">#REF!</definedName>
    <definedName name="Aluminio_no_envase_2">#REF!</definedName>
    <definedName name="Aluminio2" localSheetId="43">#REF!</definedName>
    <definedName name="Aluminio2" localSheetId="41">#REF!</definedName>
    <definedName name="Aluminio2">#REF!</definedName>
    <definedName name="Aluminio3">#REF!</definedName>
    <definedName name="ANALIS" localSheetId="43">#REF!</definedName>
    <definedName name="ANALIS" localSheetId="41">#REF!</definedName>
    <definedName name="ANALIS">#REF!</definedName>
    <definedName name="_xlnm.Print_Area" localSheetId="30">'Figura 1.5-15'!$A$1:$E$44</definedName>
    <definedName name="_xlnm.Print_Area" localSheetId="40">'Figura 1.5-19'!#REF!</definedName>
    <definedName name="_xlnm.Print_Area" localSheetId="52">'Figura 1.5-25'!#REF!</definedName>
    <definedName name="_xlnm.Print_Area" localSheetId="14">'Figura 1.5-6'!$A$1:$N$33</definedName>
    <definedName name="_xlnm.Print_Area" localSheetId="0">Índice!#REF!</definedName>
    <definedName name="_xlnm.Print_Area" localSheetId="15">'Tabla 1.5-10'!$A$1:$B$11</definedName>
    <definedName name="_xlnm.Print_Area" localSheetId="16">'Tabla 1.5-11'!$A$2:$I$12</definedName>
    <definedName name="_xlnm.Print_Area" localSheetId="22">'Tabla 1.5-15'!$A$1:$E$7</definedName>
    <definedName name="_xlnm.Print_Area" localSheetId="24">'Tabla 1.5-16'!$A$1:$E$25</definedName>
    <definedName name="_xlnm.Print_Area" localSheetId="27">'Tabla 1.5-18'!$A$1:$C$9</definedName>
    <definedName name="_xlnm.Print_Area" localSheetId="36">'Tabla 1.5-22'!$A$1:$E$7</definedName>
    <definedName name="_xlnm.Print_Area" localSheetId="37">'Tabla 1.5-23'!#REF!</definedName>
    <definedName name="_xlnm.Print_Area" localSheetId="38">'Tabla 1.5-24'!#REF!</definedName>
    <definedName name="_xlnm.Print_Area" localSheetId="45">'Tabla 1.5-28'!$A$1:$G$13</definedName>
    <definedName name="_xlnm.Print_Area" localSheetId="47">'Tabla 1.5-29'!$A$1:$C$7</definedName>
    <definedName name="_xlnm.Print_Area" localSheetId="49">'Tabla 1.5-30'!$A$1:$D$7</definedName>
    <definedName name="_xlnm.Print_Area" localSheetId="51">'Tabla 1.5-31'!#REF!</definedName>
    <definedName name="_xlnm.Print_Area" localSheetId="10">'Tabla 1.5-6'!$A$1:$P$13</definedName>
    <definedName name="Área_de_impresión2" localSheetId="43">#REF!</definedName>
    <definedName name="Área_de_impresión2" localSheetId="41">#REF!</definedName>
    <definedName name="Área_de_impresión2">#REF!</definedName>
    <definedName name="Brik2" localSheetId="43">#REF!</definedName>
    <definedName name="Brik2" localSheetId="41">#REF!</definedName>
    <definedName name="Brik2">#REF!</definedName>
    <definedName name="Brik3">#REF!</definedName>
    <definedName name="Cartón_para_Bebidas" localSheetId="43">#REF!</definedName>
    <definedName name="Cartón_para_Bebidas" localSheetId="41">#REF!</definedName>
    <definedName name="Cartón_para_Bebidas">#REF!</definedName>
    <definedName name="Cartón_para_Bebidas_2" localSheetId="43">#REF!</definedName>
    <definedName name="Cartón_para_Bebidas_2" localSheetId="41">#REF!</definedName>
    <definedName name="Cartón_para_Bebidas_2">#REF!</definedName>
    <definedName name="CB2_">#REF!</definedName>
    <definedName name="Cbe" localSheetId="43">#REF!</definedName>
    <definedName name="Cbe" localSheetId="41">#REF!</definedName>
    <definedName name="Cbe">#REF!</definedName>
    <definedName name="COMOR">#REF!</definedName>
    <definedName name="corregido" localSheetId="30">{"'REV981'!$B$36:$F$52"}</definedName>
    <definedName name="corregido" localSheetId="44">{"'REV981'!$B$36:$F$52"}</definedName>
    <definedName name="corregido" localSheetId="50">{"'REV981'!$B$36:$F$52"}</definedName>
    <definedName name="corregido" localSheetId="14">{"'REV981'!$B$36:$F$52"}</definedName>
    <definedName name="corregido" localSheetId="31">{"'REV981'!$B$36:$F$52"}</definedName>
    <definedName name="corregido" localSheetId="41">{"'REV981'!$B$36:$F$52"}</definedName>
    <definedName name="corregido" localSheetId="45">{"'REV981'!$B$36:$F$52"}</definedName>
    <definedName name="corregido" localSheetId="47">{"'REV981'!$B$36:$F$52"}</definedName>
    <definedName name="corregido" localSheetId="7">{"'REV981'!$B$36:$F$52"}</definedName>
    <definedName name="corregido">{"'REV981'!$B$36:$F$52"}</definedName>
    <definedName name="Coste_monomaterial" localSheetId="43">#REF!</definedName>
    <definedName name="Coste_monomaterial" localSheetId="41">#REF!</definedName>
    <definedName name="Coste_monomaterial">#REF!</definedName>
    <definedName name="Coste_pta_pta" localSheetId="43">#REF!</definedName>
    <definedName name="Coste_pta_pta" localSheetId="41">#REF!</definedName>
    <definedName name="Coste_pta_pta">#REF!</definedName>
    <definedName name="Coste_un__Mono" localSheetId="43">#REF!</definedName>
    <definedName name="Coste_un__Mono" localSheetId="41">#REF!</definedName>
    <definedName name="Coste_un__Mono">#REF!</definedName>
    <definedName name="Coste_un__pta_pta" localSheetId="43">#REF!</definedName>
    <definedName name="Coste_un__pta_pta" localSheetId="41">#REF!</definedName>
    <definedName name="Coste_un__pta_pta">#REF!</definedName>
    <definedName name="Coste_un__R_S_2" localSheetId="43">#REF!</definedName>
    <definedName name="Coste_un__R_S_2" localSheetId="41">#REF!</definedName>
    <definedName name="Coste_un__R_S_2">#REF!</definedName>
    <definedName name="Coste_un_R__S__Papel_Sel" localSheetId="43">#REF!</definedName>
    <definedName name="Coste_un_R__S__Papel_Sel" localSheetId="41">#REF!</definedName>
    <definedName name="Coste_un_R__S__Papel_Sel">#REF!</definedName>
    <definedName name="d" localSheetId="43">#REF!</definedName>
    <definedName name="d" localSheetId="41">#REF!</definedName>
    <definedName name="d">#REF!</definedName>
    <definedName name="daaaaaaaaaaa" localSheetId="30">{"'REV981'!$B$36:$F$52"}</definedName>
    <definedName name="daaaaaaaaaaa" localSheetId="44">{"'REV981'!$B$36:$F$52"}</definedName>
    <definedName name="daaaaaaaaaaa" localSheetId="50">{"'REV981'!$B$36:$F$52"}</definedName>
    <definedName name="daaaaaaaaaaa" localSheetId="14">{"'REV981'!$B$36:$F$52"}</definedName>
    <definedName name="daaaaaaaaaaa" localSheetId="31">{"'REV981'!$B$36:$F$52"}</definedName>
    <definedName name="daaaaaaaaaaa" localSheetId="41">{"'REV981'!$B$36:$F$52"}</definedName>
    <definedName name="daaaaaaaaaaa" localSheetId="45">{"'REV981'!$B$36:$F$52"}</definedName>
    <definedName name="daaaaaaaaaaa" localSheetId="47">{"'REV981'!$B$36:$F$52"}</definedName>
    <definedName name="daaaaaaaaaaa" localSheetId="7">{"'REV981'!$B$36:$F$52"}</definedName>
    <definedName name="daaaaaaaaaaa">{"'REV981'!$B$36:$F$52"}</definedName>
    <definedName name="DATOS" localSheetId="43">#REF!</definedName>
    <definedName name="DATOS" localSheetId="41">#REF!</definedName>
    <definedName name="DATOS">#REF!</definedName>
    <definedName name="Diagr_Manual" localSheetId="30">{"'REV981'!$B$36:$F$52"}</definedName>
    <definedName name="Diagr_Manual" localSheetId="44">{"'REV981'!$B$36:$F$52"}</definedName>
    <definedName name="Diagr_Manual" localSheetId="50">{"'REV981'!$B$36:$F$52"}</definedName>
    <definedName name="Diagr_Manual" localSheetId="14">{"'REV981'!$B$36:$F$52"}</definedName>
    <definedName name="Diagr_Manual" localSheetId="31">{"'REV981'!$B$36:$F$52"}</definedName>
    <definedName name="Diagr_Manual" localSheetId="41">{"'REV981'!$B$36:$F$52"}</definedName>
    <definedName name="Diagr_Manual" localSheetId="45">{"'REV981'!$B$36:$F$52"}</definedName>
    <definedName name="Diagr_Manual" localSheetId="47">{"'REV981'!$B$36:$F$52"}</definedName>
    <definedName name="Diagr_Manual" localSheetId="7">{"'REV981'!$B$36:$F$52"}</definedName>
    <definedName name="Diagr_Manual">{"'REV981'!$B$36:$F$52"}</definedName>
    <definedName name="dr" localSheetId="43">#REF!</definedName>
    <definedName name="dr" localSheetId="41">#REF!</definedName>
    <definedName name="dr">#REF!</definedName>
    <definedName name="drm" localSheetId="43">#REF!</definedName>
    <definedName name="drm" localSheetId="41">#REF!</definedName>
    <definedName name="drm">#REF!</definedName>
    <definedName name="ds" localSheetId="43">#REF!</definedName>
    <definedName name="ds" localSheetId="41">#REF!</definedName>
    <definedName name="ds">#REF!</definedName>
    <definedName name="EELL_y_P_C">#REF!</definedName>
    <definedName name="Envases_en_RSU__Tn__a_28_09_98" localSheetId="43">#REF!</definedName>
    <definedName name="Envases_en_RSU__Tn__a_28_09_98" localSheetId="41">#REF!</definedName>
    <definedName name="Envases_en_RSU__Tn__a_28_09_98">#REF!</definedName>
    <definedName name="Esq_Puesto_nuevo" localSheetId="30">{"'REV981'!$B$36:$F$52"}</definedName>
    <definedName name="Esq_Puesto_nuevo" localSheetId="44">{"'REV981'!$B$36:$F$52"}</definedName>
    <definedName name="Esq_Puesto_nuevo" localSheetId="50">{"'REV981'!$B$36:$F$52"}</definedName>
    <definedName name="Esq_Puesto_nuevo" localSheetId="14">{"'REV981'!$B$36:$F$52"}</definedName>
    <definedName name="Esq_Puesto_nuevo" localSheetId="31">{"'REV981'!$B$36:$F$52"}</definedName>
    <definedName name="Esq_Puesto_nuevo" localSheetId="41">{"'REV981'!$B$36:$F$52"}</definedName>
    <definedName name="Esq_Puesto_nuevo" localSheetId="45">{"'REV981'!$B$36:$F$52"}</definedName>
    <definedName name="Esq_Puesto_nuevo" localSheetId="47">{"'REV981'!$B$36:$F$52"}</definedName>
    <definedName name="Esq_Puesto_nuevo" localSheetId="7">{"'REV981'!$B$36:$F$52"}</definedName>
    <definedName name="Esq_Puesto_nuevo">{"'REV981'!$B$36:$F$52"}</definedName>
    <definedName name="Excel_BuiltIn_Database" localSheetId="30">#REF!</definedName>
    <definedName name="Excel_BuiltIn_Database" localSheetId="43">#REF!</definedName>
    <definedName name="Excel_BuiltIn_Database" localSheetId="31">#REF!</definedName>
    <definedName name="Excel_BuiltIn_Database" localSheetId="41">#REF!</definedName>
    <definedName name="Excel_BuiltIn_Database">#REF!</definedName>
    <definedName name="Excel_BuiltIn_Print_Area" localSheetId="43">#REF!</definedName>
    <definedName name="Excel_BuiltIn_Print_Area" localSheetId="41">#REF!</definedName>
    <definedName name="Excel_BuiltIn_Print_Area">#REF!</definedName>
    <definedName name="ferroser" localSheetId="43">#REF!</definedName>
    <definedName name="ferroser" localSheetId="41">#REF!</definedName>
    <definedName name="ferroser">#REF!</definedName>
    <definedName name="Flujo" localSheetId="30">{"'REV981'!$B$36:$F$52"}</definedName>
    <definedName name="Flujo" localSheetId="44">{"'REV981'!$B$36:$F$52"}</definedName>
    <definedName name="Flujo" localSheetId="50">{"'REV981'!$B$36:$F$52"}</definedName>
    <definedName name="Flujo" localSheetId="14">{"'REV981'!$B$36:$F$52"}</definedName>
    <definedName name="Flujo" localSheetId="31">{"'REV981'!$B$36:$F$52"}</definedName>
    <definedName name="Flujo" localSheetId="41">{"'REV981'!$B$36:$F$52"}</definedName>
    <definedName name="Flujo" localSheetId="45">{"'REV981'!$B$36:$F$52"}</definedName>
    <definedName name="Flujo" localSheetId="47">{"'REV981'!$B$36:$F$52"}</definedName>
    <definedName name="Flujo" localSheetId="7">{"'REV981'!$B$36:$F$52"}</definedName>
    <definedName name="Flujo">{"'REV981'!$B$36:$F$52"}</definedName>
    <definedName name="fsdf" localSheetId="43">#REF!</definedName>
    <definedName name="fsdf" localSheetId="41">#REF!</definedName>
    <definedName name="fsdf">#REF!</definedName>
    <definedName name="g">(#REF!,#REF!)</definedName>
    <definedName name="gf" localSheetId="43">#REF!</definedName>
    <definedName name="gf" localSheetId="41">#REF!</definedName>
    <definedName name="gf">#REF!</definedName>
    <definedName name="GRÁFICO_2" localSheetId="43">#REF!</definedName>
    <definedName name="GRÁFICO_2" localSheetId="41">#REF!</definedName>
    <definedName name="GRÁFICO_2">#REF!</definedName>
    <definedName name="h" localSheetId="43">#REF!</definedName>
    <definedName name="h" localSheetId="41">#REF!</definedName>
    <definedName name="h">#REF!</definedName>
    <definedName name="his" localSheetId="43">#REF!</definedName>
    <definedName name="his" localSheetId="41">#REF!</definedName>
    <definedName name="his">#REF!</definedName>
    <definedName name="hola" localSheetId="43">#REF!</definedName>
    <definedName name="hola" localSheetId="41">#REF!</definedName>
    <definedName name="hola">#REF!</definedName>
    <definedName name="hrm" localSheetId="43">#REF!</definedName>
    <definedName name="hrm" localSheetId="41">#REF!</definedName>
    <definedName name="hrm">#REF!</definedName>
    <definedName name="HTML_CodePage">1252</definedName>
    <definedName name="HTML_Control" localSheetId="30">{"'REV981'!$B$36:$F$52"}</definedName>
    <definedName name="HTML_Control" localSheetId="44">{"'REV981'!$B$36:$F$52"}</definedName>
    <definedName name="HTML_Control" localSheetId="50">{"'REV981'!$B$36:$F$52"}</definedName>
    <definedName name="HTML_Control" localSheetId="14">{"'REV981'!$B$36:$F$52"}</definedName>
    <definedName name="HTML_Control" localSheetId="31">{"'REV981'!$B$36:$F$52"}</definedName>
    <definedName name="HTML_Control" localSheetId="41">{"'REV981'!$B$36:$F$52"}</definedName>
    <definedName name="HTML_Control" localSheetId="45">{"'REV981'!$B$36:$F$52"}</definedName>
    <definedName name="HTML_Control" localSheetId="47">{"'REV981'!$B$36:$F$52"}</definedName>
    <definedName name="HTML_Control" localSheetId="7">{"'REV981'!$B$36:$F$52"}</definedName>
    <definedName name="HTML_Control">{"'REV981'!$B$36:$F$52"}</definedName>
    <definedName name="HTML_Description">""</definedName>
    <definedName name="HTML_Email">""</definedName>
    <definedName name="HTML_Header">"REV981"</definedName>
    <definedName name="HTML_LastUpdate">"7/05/99"</definedName>
    <definedName name="HTML_LineAfter">FALSE</definedName>
    <definedName name="HTML_LineBefore">FALSE</definedName>
    <definedName name="HTML_Name">"joseba"</definedName>
    <definedName name="HTML_OBDlg2">TRUE</definedName>
    <definedName name="HTML_OBDlg4">TRUE</definedName>
    <definedName name="HTML_OS">0</definedName>
    <definedName name="HTML_PathFile">"C:\ANTONIA\censoe\dos\01.htm"</definedName>
    <definedName name="HTML_Title">"REV981"</definedName>
    <definedName name="HTML1_1">"[ulti.xls]REV981!$B$24:$F$52"</definedName>
    <definedName name="HTML1_10">""</definedName>
    <definedName name="HTML1_11">1</definedName>
    <definedName name="HTML1_12">"C:\ANTONIA\censoe\dos\pp.htm"</definedName>
    <definedName name="HTML1_2">1</definedName>
    <definedName name="HTML1_3">"ulti"</definedName>
    <definedName name="HTML1_4">"REV981"</definedName>
    <definedName name="HTML1_5">""</definedName>
    <definedName name="HTML1_6">-4146</definedName>
    <definedName name="HTML1_7">-4146</definedName>
    <definedName name="HTML1_8">"7/05/99"</definedName>
    <definedName name="HTML1_9">"ine"</definedName>
    <definedName name="HTML10_1">"[ulti.xls]REV981!$B$1541:$F$1759"</definedName>
    <definedName name="HTML10_10">""</definedName>
    <definedName name="HTML10_11">1</definedName>
    <definedName name="HTML10_12">"C:\ANTONIA\censoe\dos\699mun10.htm"</definedName>
    <definedName name="HTML10_2">1</definedName>
    <definedName name="HTML10_3">"ulti"</definedName>
    <definedName name="HTML10_4">"REV981"</definedName>
    <definedName name="HTML10_5">""</definedName>
    <definedName name="HTML10_6">-4146</definedName>
    <definedName name="HTML10_7">-4146</definedName>
    <definedName name="HTML10_8">"7/05/99"</definedName>
    <definedName name="HTML10_9">"ine"</definedName>
    <definedName name="HTML11_1">"[ulti.xls]REV981!$B$1760:$F$1803"</definedName>
    <definedName name="HTML11_10">""</definedName>
    <definedName name="HTML11_11">1</definedName>
    <definedName name="HTML11_12">"C:\ANTONIA\censoe\dos\699mun11.htm"</definedName>
    <definedName name="HTML11_2">1</definedName>
    <definedName name="HTML11_3">"ulti"</definedName>
    <definedName name="HTML11_4">"REV981"</definedName>
    <definedName name="HTML11_5">""</definedName>
    <definedName name="HTML11_6">-4146</definedName>
    <definedName name="HTML11_7">-4146</definedName>
    <definedName name="HTML11_8">"7/05/99"</definedName>
    <definedName name="HTML11_9">"ine"</definedName>
    <definedName name="HTML12_1">"[ulti.xls]REV981!$B$1804:$F$1938"</definedName>
    <definedName name="HTML12_10">""</definedName>
    <definedName name="HTML12_11">1</definedName>
    <definedName name="HTML12_12">"C:\ANTONIA\censoe\dos\699mun12.htm"</definedName>
    <definedName name="HTML12_2">1</definedName>
    <definedName name="HTML12_3">"ulti"</definedName>
    <definedName name="HTML12_4">"REV981"</definedName>
    <definedName name="HTML12_5">""</definedName>
    <definedName name="HTML12_6">-4146</definedName>
    <definedName name="HTML12_7">-4146</definedName>
    <definedName name="HTML12_8">"7/05/99"</definedName>
    <definedName name="HTML12_9">"ine"</definedName>
    <definedName name="HTML13_1">"[ulti.xls]REV981!$B$1939:$F$2038"</definedName>
    <definedName name="HTML13_10">""</definedName>
    <definedName name="HTML13_11">1</definedName>
    <definedName name="HTML13_12">"C:\ANTONIA\censoe\dos\699mun13.htm"</definedName>
    <definedName name="HTML13_2">1</definedName>
    <definedName name="HTML13_3">"ulti"</definedName>
    <definedName name="HTML13_4">"REV981"</definedName>
    <definedName name="HTML13_5">""</definedName>
    <definedName name="HTML13_6">-4146</definedName>
    <definedName name="HTML13_7">-4146</definedName>
    <definedName name="HTML13_8">"7/05/99"</definedName>
    <definedName name="HTML13_9">"ine"</definedName>
    <definedName name="HTML14_1">"[ulti.xls]REV981!$B$2039:$F$2113"</definedName>
    <definedName name="HTML14_10">""</definedName>
    <definedName name="HTML14_11">1</definedName>
    <definedName name="HTML14_12">"C:\ANTONIA\censoe\dos\699mun14.htm"</definedName>
    <definedName name="HTML14_2">1</definedName>
    <definedName name="HTML14_3">"ulti"</definedName>
    <definedName name="HTML14_4">"REV981"</definedName>
    <definedName name="HTML14_5">""</definedName>
    <definedName name="HTML14_6">-4146</definedName>
    <definedName name="HTML14_7">-4146</definedName>
    <definedName name="HTML14_8">"7/05/99"</definedName>
    <definedName name="HTML14_9">"ine"</definedName>
    <definedName name="HTML15_1">"[ulti.xls]REV981!$B$2114:$F$2207"</definedName>
    <definedName name="HTML15_10">""</definedName>
    <definedName name="HTML15_11">1</definedName>
    <definedName name="HTML15_12">"C:\ANTONIA\censoe\dos\699mun15.htm"</definedName>
    <definedName name="HTML15_2">1</definedName>
    <definedName name="HTML15_3">"ulti"</definedName>
    <definedName name="HTML15_4">"REV981"</definedName>
    <definedName name="HTML15_5">""</definedName>
    <definedName name="HTML15_6">-4146</definedName>
    <definedName name="HTML15_7">-4146</definedName>
    <definedName name="HTML15_8">"7/05/99"</definedName>
    <definedName name="HTML15_9">"ine"</definedName>
    <definedName name="HTML16_1">"[ulti.xls]REV981!$B$2208:$F$2445"</definedName>
    <definedName name="HTML16_10">""</definedName>
    <definedName name="HTML16_11">1</definedName>
    <definedName name="HTML16_12">"C:\ANTONIA\censoe\dos\699mun16.htm"</definedName>
    <definedName name="HTML16_2">1</definedName>
    <definedName name="HTML16_3">"ulti"</definedName>
    <definedName name="HTML16_4">"REV981"</definedName>
    <definedName name="HTML16_5">""</definedName>
    <definedName name="HTML16_6">-4146</definedName>
    <definedName name="HTML16_7">-4146</definedName>
    <definedName name="HTML16_8">"7/05/99"</definedName>
    <definedName name="HTML16_9">"ine"</definedName>
    <definedName name="HTML17_1">"[ulti.xls]REV981!$B$2446:$F$2666"</definedName>
    <definedName name="HTML17_10">""</definedName>
    <definedName name="HTML17_11">1</definedName>
    <definedName name="HTML17_12">"C:\ANTONIA\censoe\dos\699mun17.htm"</definedName>
    <definedName name="HTML17_2">1</definedName>
    <definedName name="HTML17_3">"ulti"</definedName>
    <definedName name="HTML17_4">"REV981"</definedName>
    <definedName name="HTML17_5">""</definedName>
    <definedName name="HTML17_6">-4146</definedName>
    <definedName name="HTML17_7">-4146</definedName>
    <definedName name="HTML17_8">"7/05/99"</definedName>
    <definedName name="HTML17_9">"ine"</definedName>
    <definedName name="HTML18_1">"[ulti.xls]REV981!$B$2667:$F$2834"</definedName>
    <definedName name="HTML18_10">""</definedName>
    <definedName name="HTML18_11">1</definedName>
    <definedName name="HTML18_12">"C:\ANTONIA\censoe\dos\699mun18.htm"</definedName>
    <definedName name="HTML18_2">1</definedName>
    <definedName name="HTML18_3">"ulti"</definedName>
    <definedName name="HTML18_4">"REV981"</definedName>
    <definedName name="HTML18_5">""</definedName>
    <definedName name="HTML18_6">-4146</definedName>
    <definedName name="HTML18_7">-4146</definedName>
    <definedName name="HTML18_8">"7/05/99"</definedName>
    <definedName name="HTML18_9">"ine"</definedName>
    <definedName name="HTML19_1">"[ulti.xls]REV981!$B$2835:$F$3121"</definedName>
    <definedName name="HTML19_10">""</definedName>
    <definedName name="HTML19_11">1</definedName>
    <definedName name="HTML19_12">"C:\ANTONIA\censoe\dos\699mun19.htm"</definedName>
    <definedName name="HTML19_2">1</definedName>
    <definedName name="HTML19_3">"ulti"</definedName>
    <definedName name="HTML19_4">"REV981"</definedName>
    <definedName name="HTML19_5">""</definedName>
    <definedName name="HTML19_6">-4146</definedName>
    <definedName name="HTML19_7">-4146</definedName>
    <definedName name="HTML19_8">"7/05/99"</definedName>
    <definedName name="HTML19_9">"ine"</definedName>
    <definedName name="HTML2_1">"[ulti.xls]REV981!$B$53:$F$138"</definedName>
    <definedName name="HTML2_10">""</definedName>
    <definedName name="HTML2_11">1</definedName>
    <definedName name="HTML2_12">"C:\ANTONIA\censoe\dos\699mun02.htm"</definedName>
    <definedName name="HTML2_2">1</definedName>
    <definedName name="HTML2_3">"ulti"</definedName>
    <definedName name="HTML2_4">"REV981"</definedName>
    <definedName name="HTML2_5">""</definedName>
    <definedName name="HTML2_6">-4146</definedName>
    <definedName name="HTML2_7">-4146</definedName>
    <definedName name="HTML2_8">"7/05/99"</definedName>
    <definedName name="HTML2_9">"ine"</definedName>
    <definedName name="HTML20_1">"[ulti.xls]REV981!$B$3122:$F$3209"</definedName>
    <definedName name="HTML20_10">""</definedName>
    <definedName name="HTML20_11">1</definedName>
    <definedName name="HTML20_12">"C:\ANTONIA\censoe\dos\699mun20.htm"</definedName>
    <definedName name="HTML20_2">1</definedName>
    <definedName name="HTML20_3">"ulti"</definedName>
    <definedName name="HTML20_4">"REV981"</definedName>
    <definedName name="HTML20_5">""</definedName>
    <definedName name="HTML20_6">-4146</definedName>
    <definedName name="HTML20_7">-4146</definedName>
    <definedName name="HTML20_8">"7/05/99"</definedName>
    <definedName name="HTML20_9">"ine"</definedName>
    <definedName name="HTML21_1">"[ulti.xls]REV981!$B$3210:$F$3288"</definedName>
    <definedName name="HTML21_10">""</definedName>
    <definedName name="HTML21_11">1</definedName>
    <definedName name="HTML21_12">"C:\ANTONIA\censoe\dos\699mun21.htm"</definedName>
    <definedName name="HTML21_2">1</definedName>
    <definedName name="HTML21_3">"ulti"</definedName>
    <definedName name="HTML21_4">"REV981"</definedName>
    <definedName name="HTML21_5">""</definedName>
    <definedName name="HTML21_6">-4146</definedName>
    <definedName name="HTML21_7">-4146</definedName>
    <definedName name="HTML21_8">"7/05/99"</definedName>
    <definedName name="HTML21_9">"ine"</definedName>
    <definedName name="HTML22_1">"[ulti.xls]REV981!$B$3289:$F$3490"</definedName>
    <definedName name="HTML22_10">""</definedName>
    <definedName name="HTML22_11">1</definedName>
    <definedName name="HTML22_12">"C:\ANTONIA\censoe\dos\699mun22.htm"</definedName>
    <definedName name="HTML22_2">1</definedName>
    <definedName name="HTML22_3">"ulti"</definedName>
    <definedName name="HTML22_4">"REV981"</definedName>
    <definedName name="HTML22_5">""</definedName>
    <definedName name="HTML22_6">-4146</definedName>
    <definedName name="HTML22_7">-4146</definedName>
    <definedName name="HTML22_8">"7/05/99"</definedName>
    <definedName name="HTML22_9">"ine"</definedName>
    <definedName name="HTML23_1">"[ulti.xls]REV981!$B$3491:$F$3586"</definedName>
    <definedName name="HTML23_10">""</definedName>
    <definedName name="HTML23_11">1</definedName>
    <definedName name="HTML23_12">"C:\ANTONIA\censoe\dos\699mun23.htm"</definedName>
    <definedName name="HTML23_2">1</definedName>
    <definedName name="HTML23_3">"ulti"</definedName>
    <definedName name="HTML23_4">"REV981"</definedName>
    <definedName name="HTML23_5">""</definedName>
    <definedName name="HTML23_6">-4146</definedName>
    <definedName name="HTML23_7">-4146</definedName>
    <definedName name="HTML23_8">"7/05/99"</definedName>
    <definedName name="HTML23_9">"ine"</definedName>
    <definedName name="HTML24_1">"[ulti.xls]REV981!$B$3587:$F$3797"</definedName>
    <definedName name="HTML24_10">""</definedName>
    <definedName name="HTML24_11">1</definedName>
    <definedName name="HTML24_12">"C:\ANTONIA\censoe\dos\699mun24.htm"</definedName>
    <definedName name="HTML24_2">1</definedName>
    <definedName name="HTML24_3">"ulti"</definedName>
    <definedName name="HTML24_4">"REV981"</definedName>
    <definedName name="HTML24_5">""</definedName>
    <definedName name="HTML24_6">-4146</definedName>
    <definedName name="HTML24_7">-4146</definedName>
    <definedName name="HTML24_8">"7/05/99"</definedName>
    <definedName name="HTML24_9">"ine"</definedName>
    <definedName name="HTML25_1">"[ulti.xls]REV981!$B$3798:$F$4027"</definedName>
    <definedName name="HTML25_10">""</definedName>
    <definedName name="HTML25_11">1</definedName>
    <definedName name="HTML25_12">"C:\ANTONIA\censoe\dos\699mun25.htm"</definedName>
    <definedName name="HTML25_2">1</definedName>
    <definedName name="HTML25_3">"ulti"</definedName>
    <definedName name="HTML25_4">"REV981"</definedName>
    <definedName name="HTML25_5">""</definedName>
    <definedName name="HTML25_6">-4146</definedName>
    <definedName name="HTML25_7">-4146</definedName>
    <definedName name="HTML25_8">"7/05/99"</definedName>
    <definedName name="HTML25_9">"ine"</definedName>
    <definedName name="HTML26_1">"[ulti.xls]REV981!$B$4028:$F$4201"</definedName>
    <definedName name="HTML26_10">""</definedName>
    <definedName name="HTML26_11">1</definedName>
    <definedName name="HTML26_12">"C:\ANTONIA\censoe\dos\699mun26.htm"</definedName>
    <definedName name="HTML26_2">1</definedName>
    <definedName name="HTML26_3">"ulti"</definedName>
    <definedName name="HTML26_4">"REV981"</definedName>
    <definedName name="HTML26_5">""</definedName>
    <definedName name="HTML26_6">-4146</definedName>
    <definedName name="HTML26_7">-4146</definedName>
    <definedName name="HTML26_8">"7/05/99"</definedName>
    <definedName name="HTML26_9">"ine"</definedName>
    <definedName name="HTML27_1">"[ulti.xls]REV981!$B$4202:$F$4268"</definedName>
    <definedName name="HTML27_10">""</definedName>
    <definedName name="HTML27_11">1</definedName>
    <definedName name="HTML27_12">"C:\ANTONIA\censoe\dos\699mun27.htm"</definedName>
    <definedName name="HTML27_2">1</definedName>
    <definedName name="HTML27_3">"ulti"</definedName>
    <definedName name="HTML27_4">"REV981"</definedName>
    <definedName name="HTML27_5">""</definedName>
    <definedName name="HTML27_6">-4146</definedName>
    <definedName name="HTML27_7">-4146</definedName>
    <definedName name="HTML27_8">"7/05/99"</definedName>
    <definedName name="HTML27_9">"ine"</definedName>
    <definedName name="HTML28_1">"[ulti.xls]REV981!$B$2:$F$52"</definedName>
    <definedName name="HTML28_10">""</definedName>
    <definedName name="HTML28_11">1</definedName>
    <definedName name="HTML28_12">"C:\ANTONIA\censoe\dos\699mun01.htm"</definedName>
    <definedName name="HTML28_2">1</definedName>
    <definedName name="HTML28_3">"ulti"</definedName>
    <definedName name="HTML28_4">"REV981"</definedName>
    <definedName name="HTML28_5">""</definedName>
    <definedName name="HTML28_6">-4146</definedName>
    <definedName name="HTML28_7">-4146</definedName>
    <definedName name="HTML28_8">"7/05/99"</definedName>
    <definedName name="HTML28_9">"ine"</definedName>
    <definedName name="HTML29_1">"[ulti.xls]REV981!$B$4269:$F$4447"</definedName>
    <definedName name="HTML29_10">""</definedName>
    <definedName name="HTML29_11">1</definedName>
    <definedName name="HTML29_12">"C:\ANTONIA\censoe\dos\699mun28.htm"</definedName>
    <definedName name="HTML29_2">1</definedName>
    <definedName name="HTML29_3">"ulti"</definedName>
    <definedName name="HTML29_4">"REV981"</definedName>
    <definedName name="HTML29_5">""</definedName>
    <definedName name="HTML29_6">-4146</definedName>
    <definedName name="HTML29_7">-4146</definedName>
    <definedName name="HTML29_8">"7/05/99"</definedName>
    <definedName name="HTML29_9">"ine"</definedName>
    <definedName name="HTML3_1">"[ulti.xls]REV981!$B$139:$F$279"</definedName>
    <definedName name="HTML3_10">""</definedName>
    <definedName name="HTML3_11">1</definedName>
    <definedName name="HTML3_12">"C:\ANTONIA\censoe\dos\699mun03.htm"</definedName>
    <definedName name="HTML3_2">1</definedName>
    <definedName name="HTML3_3">"ulti"</definedName>
    <definedName name="HTML3_4">"REV981"</definedName>
    <definedName name="HTML3_5">""</definedName>
    <definedName name="HTML3_6">-4146</definedName>
    <definedName name="HTML3_7">-4146</definedName>
    <definedName name="HTML3_8">"7/05/99"</definedName>
    <definedName name="HTML3_9">"ine"</definedName>
    <definedName name="HTML30_1">"[ulti.xls]REV981!$B$4448:$F$4547"</definedName>
    <definedName name="HTML30_10">""</definedName>
    <definedName name="HTML30_11">1</definedName>
    <definedName name="HTML30_12">"C:\ANTONIA\censoe\dos\699mun29.htm"</definedName>
    <definedName name="HTML30_2">1</definedName>
    <definedName name="HTML30_3">"ulti"</definedName>
    <definedName name="HTML30_4">"REV981"</definedName>
    <definedName name="HTML30_5">""</definedName>
    <definedName name="HTML30_6">-4146</definedName>
    <definedName name="HTML30_7">-4146</definedName>
    <definedName name="HTML30_8">"7/05/99"</definedName>
    <definedName name="HTML30_9">"ine"</definedName>
    <definedName name="HTML31_1">"[ulti.xls]REV981!$B$4548:$F$4592"</definedName>
    <definedName name="HTML31_10">""</definedName>
    <definedName name="HTML31_11">1</definedName>
    <definedName name="HTML31_12">"C:\ANTONIA\censoe\dos\699mun30.htm"</definedName>
    <definedName name="HTML31_2">1</definedName>
    <definedName name="HTML31_3">"ulti"</definedName>
    <definedName name="HTML31_4">"REV981"</definedName>
    <definedName name="HTML31_5">""</definedName>
    <definedName name="HTML31_6">-4146</definedName>
    <definedName name="HTML31_7">-4146</definedName>
    <definedName name="HTML31_8">"7/05/99"</definedName>
    <definedName name="HTML31_9">"ine"</definedName>
    <definedName name="HTML32_1">"[ulti.xls]Hoja1!$B$4593:$F$4864"</definedName>
    <definedName name="HTML32_10">""</definedName>
    <definedName name="HTML32_11">1</definedName>
    <definedName name="HTML32_12">"C:\ANTONIA\censoe\dos\699mun31.htm"</definedName>
    <definedName name="HTML32_2">1</definedName>
    <definedName name="HTML32_3">"ulti"</definedName>
    <definedName name="HTML32_4">"Hoja1"</definedName>
    <definedName name="HTML32_5">""</definedName>
    <definedName name="HTML32_6">-4146</definedName>
    <definedName name="HTML32_7">-4146</definedName>
    <definedName name="HTML32_8">"7/05/99"</definedName>
    <definedName name="HTML32_9">"ine"</definedName>
    <definedName name="HTML33_1">"[ulti.xls]Hoja1!$B$4865:$F$4956"</definedName>
    <definedName name="HTML33_10">""</definedName>
    <definedName name="HTML33_11">1</definedName>
    <definedName name="HTML33_12">"C:\ANTONIA\censoe\dos\699mun32.htm"</definedName>
    <definedName name="HTML33_2">1</definedName>
    <definedName name="HTML33_3">"ulti"</definedName>
    <definedName name="HTML33_4">"Hoja1"</definedName>
    <definedName name="HTML33_5">""</definedName>
    <definedName name="HTML33_6">-4146</definedName>
    <definedName name="HTML33_7">-4146</definedName>
    <definedName name="HTML33_8">"7/05/99"</definedName>
    <definedName name="HTML33_9">"ine"</definedName>
    <definedName name="HTML34_1">"[ulti.xls]Hoja1!$B$4957:$F$5034"</definedName>
    <definedName name="HTML34_10">""</definedName>
    <definedName name="HTML34_11">1</definedName>
    <definedName name="HTML34_12">"C:\ANTONIA\censoe\dos\699mun33.htm"</definedName>
    <definedName name="HTML34_2">1</definedName>
    <definedName name="HTML34_3">"ulti"</definedName>
    <definedName name="HTML34_4">"Hoja1"</definedName>
    <definedName name="HTML34_5">""</definedName>
    <definedName name="HTML34_6">-4146</definedName>
    <definedName name="HTML34_7">-4146</definedName>
    <definedName name="HTML34_8">"7/05/99"</definedName>
    <definedName name="HTML34_9">"ine"</definedName>
    <definedName name="HTML35_1">"[ulti.xls]Hoja1!$B$5035:$F$5225"</definedName>
    <definedName name="HTML35_10">""</definedName>
    <definedName name="HTML35_11">1</definedName>
    <definedName name="HTML35_12">"C:\ANTONIA\censoe\dos\699mun34.htm"</definedName>
    <definedName name="HTML35_2">1</definedName>
    <definedName name="HTML35_3">"ulti"</definedName>
    <definedName name="HTML35_4">"Hoja1"</definedName>
    <definedName name="HTML35_5">""</definedName>
    <definedName name="HTML35_6">-4146</definedName>
    <definedName name="HTML35_7">-4146</definedName>
    <definedName name="HTML35_8">"7/05/99"</definedName>
    <definedName name="HTML35_9">"ine"</definedName>
    <definedName name="HTML36_1">"[ulti.xls]Hoja1!$B$5226:$F$5259"</definedName>
    <definedName name="HTML36_10">""</definedName>
    <definedName name="HTML36_11">1</definedName>
    <definedName name="HTML36_12">"C:\ANTONIA\censoe\dos\699mun35.htm"</definedName>
    <definedName name="HTML36_2">1</definedName>
    <definedName name="HTML36_3">"ulti"</definedName>
    <definedName name="HTML36_4">"Hoja1"</definedName>
    <definedName name="HTML36_5">""</definedName>
    <definedName name="HTML36_6">-4146</definedName>
    <definedName name="HTML36_7">-4146</definedName>
    <definedName name="HTML36_8">"7/05/99"</definedName>
    <definedName name="HTML36_9">"ine"</definedName>
    <definedName name="HTML37_1">"[ulti.xls]Hoja1!$B$5260:$F$5321"</definedName>
    <definedName name="HTML37_10">""</definedName>
    <definedName name="HTML37_11">1</definedName>
    <definedName name="HTML37_12">"C:\ANTONIA\censoe\dos\699mun36.htm"</definedName>
    <definedName name="HTML37_2">1</definedName>
    <definedName name="HTML37_3">"ulti"</definedName>
    <definedName name="HTML37_4">"Hoja1"</definedName>
    <definedName name="HTML37_5">""</definedName>
    <definedName name="HTML37_6">-4146</definedName>
    <definedName name="HTML37_7">-4146</definedName>
    <definedName name="HTML37_8">"7/05/99"</definedName>
    <definedName name="HTML37_9">"ine"</definedName>
    <definedName name="HTML38_1">"[ulti.xls]Hoja1!$B$5322:$F$5683"</definedName>
    <definedName name="HTML38_10">""</definedName>
    <definedName name="HTML38_11">1</definedName>
    <definedName name="HTML38_12">"C:\ANTONIA\censoe\dos\699mun37.htm"</definedName>
    <definedName name="HTML38_2">1</definedName>
    <definedName name="HTML38_3">"ulti"</definedName>
    <definedName name="HTML38_4">"Hoja1"</definedName>
    <definedName name="HTML38_5">""</definedName>
    <definedName name="HTML38_6">-4146</definedName>
    <definedName name="HTML38_7">-4146</definedName>
    <definedName name="HTML38_8">"7/05/99"</definedName>
    <definedName name="HTML38_9">"ine"</definedName>
    <definedName name="HTML39_1">"[ulti.xls]Hoja1!$B$5684:$F$5736"</definedName>
    <definedName name="HTML39_10">""</definedName>
    <definedName name="HTML39_11">1</definedName>
    <definedName name="HTML39_12">"C:\ANTONIA\censoe\dos\699mun38.htm"</definedName>
    <definedName name="HTML39_2">1</definedName>
    <definedName name="HTML39_3">"ulti"</definedName>
    <definedName name="HTML39_4">"Hoja1"</definedName>
    <definedName name="HTML39_5">""</definedName>
    <definedName name="HTML39_6">-4146</definedName>
    <definedName name="HTML39_7">-4146</definedName>
    <definedName name="HTML39_8">"7/05/99"</definedName>
    <definedName name="HTML39_9">"ine"</definedName>
    <definedName name="HTML4_1">"[ulti.xls]REV981!$B$280:$F$381"</definedName>
    <definedName name="HTML4_10">""</definedName>
    <definedName name="HTML4_11">1</definedName>
    <definedName name="HTML4_12">"C:\ANTONIA\censoe\dos\699mun04.htm"</definedName>
    <definedName name="HTML4_2">1</definedName>
    <definedName name="HTML4_3">"ulti"</definedName>
    <definedName name="HTML4_4">"REV981"</definedName>
    <definedName name="HTML4_5">""</definedName>
    <definedName name="HTML4_6">-4146</definedName>
    <definedName name="HTML4_7">-4146</definedName>
    <definedName name="HTML4_8">"7/05/99"</definedName>
    <definedName name="HTML4_9">"ine"</definedName>
    <definedName name="HTML40_1">"[ulti.xls]Hoja1!$B$5737:$F$5838"</definedName>
    <definedName name="HTML40_10">""</definedName>
    <definedName name="HTML40_11">1</definedName>
    <definedName name="HTML40_12">"C:\ANTONIA\censoe\dos\699mun39.htm"</definedName>
    <definedName name="HTML40_2">1</definedName>
    <definedName name="HTML40_3">"ulti"</definedName>
    <definedName name="HTML40_4">"Hoja1"</definedName>
    <definedName name="HTML40_5">""</definedName>
    <definedName name="HTML40_6">-4146</definedName>
    <definedName name="HTML40_7">-4146</definedName>
    <definedName name="HTML40_8">"7/05/99"</definedName>
    <definedName name="HTML40_9">"ine"</definedName>
    <definedName name="HTML41_1">"[ulti.xls]Hoja1!$B$5839:$F$6046"</definedName>
    <definedName name="HTML41_10">""</definedName>
    <definedName name="HTML41_11">1</definedName>
    <definedName name="HTML41_12">"C:\ANTONIA\censoe\dos\699mun40.htm"</definedName>
    <definedName name="HTML41_2">1</definedName>
    <definedName name="HTML41_3">"ulti"</definedName>
    <definedName name="HTML41_4">"Hoja1"</definedName>
    <definedName name="HTML41_5">""</definedName>
    <definedName name="HTML41_6">-4146</definedName>
    <definedName name="HTML41_7">-4146</definedName>
    <definedName name="HTML41_8">"7/05/99"</definedName>
    <definedName name="HTML41_9">"ine"</definedName>
    <definedName name="HTML42_1">"[ulti.xls]Hoja1!$B$6047:$F$6151"</definedName>
    <definedName name="HTML42_10">""</definedName>
    <definedName name="HTML42_11">1</definedName>
    <definedName name="HTML42_12">"C:\ANTONIA\censoe\dos\699mun41.htm"</definedName>
    <definedName name="HTML42_2">1</definedName>
    <definedName name="HTML42_3">"ulti"</definedName>
    <definedName name="HTML42_4">"Hoja1"</definedName>
    <definedName name="HTML42_5">""</definedName>
    <definedName name="HTML42_6">-4146</definedName>
    <definedName name="HTML42_7">-4146</definedName>
    <definedName name="HTML42_8">"7/05/99"</definedName>
    <definedName name="HTML42_9">"ine"</definedName>
    <definedName name="HTML43_1">"[ulti.xls]Hoja1!$B$6152:$F$6334"</definedName>
    <definedName name="HTML43_10">""</definedName>
    <definedName name="HTML43_11">1</definedName>
    <definedName name="HTML43_12">"C:\ANTONIA\censoe\dos\699mun42.htm"</definedName>
    <definedName name="HTML43_2">1</definedName>
    <definedName name="HTML43_3">"ulti"</definedName>
    <definedName name="HTML43_4">"Hoja1"</definedName>
    <definedName name="HTML43_5">""</definedName>
    <definedName name="HTML43_6">-4146</definedName>
    <definedName name="HTML43_7">-4146</definedName>
    <definedName name="HTML43_8">"7/05/99"</definedName>
    <definedName name="HTML43_9">"ine"</definedName>
    <definedName name="HTML44_1">"[ulti.xls]Hoja1!$B$6335:$F$6517"</definedName>
    <definedName name="HTML44_10">""</definedName>
    <definedName name="HTML44_11">1</definedName>
    <definedName name="HTML44_12">"C:\ANTONIA\censoe\dos\699mun43.htm"</definedName>
    <definedName name="HTML44_2">1</definedName>
    <definedName name="HTML44_3">"ulti"</definedName>
    <definedName name="HTML44_4">"Hoja1"</definedName>
    <definedName name="HTML44_5">""</definedName>
    <definedName name="HTML44_6">-4146</definedName>
    <definedName name="HTML44_7">-4146</definedName>
    <definedName name="HTML44_8">"7/05/99"</definedName>
    <definedName name="HTML44_9">"ine"</definedName>
    <definedName name="HTML45_1">"[ulti.xls]Hoja1!$B$6518:$F$6753"</definedName>
    <definedName name="HTML45_10">""</definedName>
    <definedName name="HTML45_11">1</definedName>
    <definedName name="HTML45_12">"C:\ANTONIA\censoe\dos\699mun44.htm"</definedName>
    <definedName name="HTML45_2">1</definedName>
    <definedName name="HTML45_3">"ulti"</definedName>
    <definedName name="HTML45_4">"Hoja1"</definedName>
    <definedName name="HTML45_5">""</definedName>
    <definedName name="HTML45_6">-4146</definedName>
    <definedName name="HTML45_7">-4146</definedName>
    <definedName name="HTML45_8">"7/05/99"</definedName>
    <definedName name="HTML45_9">"ine"</definedName>
    <definedName name="HTML46_1">"[ulti.xls]Hoja1!$B$6754:$F$6957"</definedName>
    <definedName name="HTML46_10">""</definedName>
    <definedName name="HTML46_11">1</definedName>
    <definedName name="HTML46_12">"C:\ANTONIA\censoe\dos\699mun45.htm"</definedName>
    <definedName name="HTML46_2">1</definedName>
    <definedName name="HTML46_3">"ulti"</definedName>
    <definedName name="HTML46_4">"Hoja1"</definedName>
    <definedName name="HTML46_5">""</definedName>
    <definedName name="HTML46_6">-4146</definedName>
    <definedName name="HTML46_7">-4146</definedName>
    <definedName name="HTML46_8">"7/05/99"</definedName>
    <definedName name="HTML46_9">"ine"</definedName>
    <definedName name="HTML47_1">"[ulti.xls]Hoja1!$B$6958:$F$7222"</definedName>
    <definedName name="HTML47_10">""</definedName>
    <definedName name="HTML47_11">1</definedName>
    <definedName name="HTML47_12">"C:\ANTONIA\censoe\dos\699mun46.htm"</definedName>
    <definedName name="HTML47_2">1</definedName>
    <definedName name="HTML47_3">"ulti"</definedName>
    <definedName name="HTML47_4">"Hoja1"</definedName>
    <definedName name="HTML47_5">""</definedName>
    <definedName name="HTML47_6">-4146</definedName>
    <definedName name="HTML47_7">-4146</definedName>
    <definedName name="HTML47_8">"7/05/99"</definedName>
    <definedName name="HTML47_9">"ine"</definedName>
    <definedName name="HTML48_1">"[ulti.xls]Hoja1!$B$7223:$F$7447"</definedName>
    <definedName name="HTML48_10">""</definedName>
    <definedName name="HTML48_11">1</definedName>
    <definedName name="HTML48_12">"C:\ANTONIA\censoe\dos\699mun47htm"</definedName>
    <definedName name="HTML48_2">1</definedName>
    <definedName name="HTML48_3">"ulti"</definedName>
    <definedName name="HTML48_4">"Hoja1"</definedName>
    <definedName name="HTML48_5">""</definedName>
    <definedName name="HTML48_6">-4146</definedName>
    <definedName name="HTML48_7">-4146</definedName>
    <definedName name="HTML48_8">"7/05/99"</definedName>
    <definedName name="HTML48_9">"ine"</definedName>
    <definedName name="HTML49_1">"[ulti.xls]Hoja1!$B$7448:$F$7558"</definedName>
    <definedName name="HTML49_10">""</definedName>
    <definedName name="HTML49_11">1</definedName>
    <definedName name="HTML49_12">"C:\ANTONIA\censoe\dos\699mun48.htm"</definedName>
    <definedName name="HTML49_2">1</definedName>
    <definedName name="HTML49_3">"ulti"</definedName>
    <definedName name="HTML49_4">"Hoja1"</definedName>
    <definedName name="HTML49_5">""</definedName>
    <definedName name="HTML49_6">-4146</definedName>
    <definedName name="HTML49_7">-4146</definedName>
    <definedName name="HTML49_8">"7/05/99"</definedName>
    <definedName name="HTML49_9">"ine"</definedName>
    <definedName name="HTML5_1">"[ulti.xls]REV981!$B$382:$F$629"</definedName>
    <definedName name="HTML5_10">""</definedName>
    <definedName name="HTML5_11">1</definedName>
    <definedName name="HTML5_12">"C:\ANTONIA\censoe\dos\699mun05.htm"</definedName>
    <definedName name="HTML5_2">1</definedName>
    <definedName name="HTML5_3">"ulti"</definedName>
    <definedName name="HTML5_4">"REV981"</definedName>
    <definedName name="HTML5_5">""</definedName>
    <definedName name="HTML5_6">-4146</definedName>
    <definedName name="HTML5_7">-4146</definedName>
    <definedName name="HTML5_8">"7/05/99"</definedName>
    <definedName name="HTML5_9">"ine"</definedName>
    <definedName name="HTML50_1">"[ulti.xls]Hoja1!$B$7559:$F$7806"</definedName>
    <definedName name="HTML50_10">""</definedName>
    <definedName name="HTML50_11">1</definedName>
    <definedName name="HTML50_12">"C:\ANTONIA\censoe\dos\699mun49.htm"</definedName>
    <definedName name="HTML50_2">1</definedName>
    <definedName name="HTML50_3">"ulti"</definedName>
    <definedName name="HTML50_4">"Hoja1"</definedName>
    <definedName name="HTML50_5">""</definedName>
    <definedName name="HTML50_6">-4146</definedName>
    <definedName name="HTML50_7">-4146</definedName>
    <definedName name="HTML50_8">"7/05/99"</definedName>
    <definedName name="HTML50_9">"ine"</definedName>
    <definedName name="HTML51_1">"[ulti.xls]Hoja1!$B$7807:$F$8097"</definedName>
    <definedName name="HTML51_10">""</definedName>
    <definedName name="HTML51_11">1</definedName>
    <definedName name="HTML51_12">"C:\ANTONIA\censoe\dos\699mun50.htm"</definedName>
    <definedName name="HTML51_2">1</definedName>
    <definedName name="HTML51_3">"ulti"</definedName>
    <definedName name="HTML51_4">"Hoja1"</definedName>
    <definedName name="HTML51_5">""</definedName>
    <definedName name="HTML51_6">-4146</definedName>
    <definedName name="HTML51_7">-4146</definedName>
    <definedName name="HTML51_8">"7/05/99"</definedName>
    <definedName name="HTML51_9">"ine"</definedName>
    <definedName name="HTML52_1">"[ulti.xls]Hoja1!$B$8098:$F$8098"</definedName>
    <definedName name="HTML52_10">""</definedName>
    <definedName name="HTML52_11">1</definedName>
    <definedName name="HTML52_12">"C:\ANTONIA\censoe\dos\699mun51.htm"</definedName>
    <definedName name="HTML52_2">1</definedName>
    <definedName name="HTML52_3">"ulti"</definedName>
    <definedName name="HTML52_4">"Hoja1"</definedName>
    <definedName name="HTML52_5">""</definedName>
    <definedName name="HTML52_6">-4146</definedName>
    <definedName name="HTML52_7">-4146</definedName>
    <definedName name="HTML52_8">"7/05/99"</definedName>
    <definedName name="HTML52_9">"ine"</definedName>
    <definedName name="HTML53_1">"[ulti.xls]Hoja1!$B$8099:$F$8099"</definedName>
    <definedName name="HTML53_10">""</definedName>
    <definedName name="HTML53_11">1</definedName>
    <definedName name="HTML53_12">"C:\ANTONIA\censoe\dos\699mun52.htm"</definedName>
    <definedName name="HTML53_2">1</definedName>
    <definedName name="HTML53_3">"ulti"</definedName>
    <definedName name="HTML53_4">"Hoja1"</definedName>
    <definedName name="HTML53_5">""</definedName>
    <definedName name="HTML53_6">-4146</definedName>
    <definedName name="HTML53_7">-4146</definedName>
    <definedName name="HTML53_8">"7/05/99"</definedName>
    <definedName name="HTML53_9">"ine"</definedName>
    <definedName name="HTML6_1">"[ulti.xls]REV981!$B$630:$F$792"</definedName>
    <definedName name="HTML6_10">""</definedName>
    <definedName name="HTML6_11">1</definedName>
    <definedName name="HTML6_12">"C:\ANTONIA\censoe\dos\699mun06.htm"</definedName>
    <definedName name="HTML6_2">1</definedName>
    <definedName name="HTML6_3">"ulti"</definedName>
    <definedName name="HTML6_4">"REV981"</definedName>
    <definedName name="HTML6_5">""</definedName>
    <definedName name="HTML6_6">-4146</definedName>
    <definedName name="HTML6_7">-4146</definedName>
    <definedName name="HTML6_8">"7/05/99"</definedName>
    <definedName name="HTML6_9">"ine"</definedName>
    <definedName name="HTML7_1">"[ulti.xls]REV981!$B$793:$F$859"</definedName>
    <definedName name="HTML7_10">""</definedName>
    <definedName name="HTML7_11">1</definedName>
    <definedName name="HTML7_12">"C:\ANTONIA\censoe\dos\699mun07.htm"</definedName>
    <definedName name="HTML7_2">1</definedName>
    <definedName name="HTML7_3">"ulti"</definedName>
    <definedName name="HTML7_4">"REV981"</definedName>
    <definedName name="HTML7_5">""</definedName>
    <definedName name="HTML7_6">-4146</definedName>
    <definedName name="HTML7_7">-4146</definedName>
    <definedName name="HTML7_8">"7/05/99"</definedName>
    <definedName name="HTML7_9">"ine"</definedName>
    <definedName name="HTML8_1">"[ulti.xls]REV981!$B$860:$F$1169"</definedName>
    <definedName name="HTML8_10">""</definedName>
    <definedName name="HTML8_11">1</definedName>
    <definedName name="HTML8_12">"C:\ANTONIA\censoe\dos\699mun08.htm"</definedName>
    <definedName name="HTML8_2">1</definedName>
    <definedName name="HTML8_3">"ulti"</definedName>
    <definedName name="HTML8_4">"REV981"</definedName>
    <definedName name="HTML8_5">""</definedName>
    <definedName name="HTML8_6">-4146</definedName>
    <definedName name="HTML8_7">-4146</definedName>
    <definedName name="HTML8_8">"7/05/99"</definedName>
    <definedName name="HTML8_9">"ine"</definedName>
    <definedName name="HTML9_1">"[ulti.xls]REV981!$B$1170:$F$1540"</definedName>
    <definedName name="HTML9_10">""</definedName>
    <definedName name="HTML9_11">1</definedName>
    <definedName name="HTML9_12">"C:\ANTONIA\censoe\dos\699mun09.htm"</definedName>
    <definedName name="HTML9_2">1</definedName>
    <definedName name="HTML9_3">"ulti"</definedName>
    <definedName name="HTML9_4">"REV981"</definedName>
    <definedName name="HTML9_5">""</definedName>
    <definedName name="HTML9_6">-4146</definedName>
    <definedName name="HTML9_7">-4146</definedName>
    <definedName name="HTML9_8">"7/05/99"</definedName>
    <definedName name="HTML9_9">"ine"</definedName>
    <definedName name="HTMLCount">53</definedName>
    <definedName name="i" localSheetId="43">#REF!</definedName>
    <definedName name="i" localSheetId="41">#REF!</definedName>
    <definedName name="i">#REF!</definedName>
    <definedName name="iaswfeda" localSheetId="43">#REF!</definedName>
    <definedName name="iaswfeda" localSheetId="41">#REF!</definedName>
    <definedName name="iaswfeda">#REF!</definedName>
    <definedName name="inc" localSheetId="43">#REF!</definedName>
    <definedName name="inc" localSheetId="41">#REF!</definedName>
    <definedName name="inc">#REF!</definedName>
    <definedName name="inch" localSheetId="43">#REF!</definedName>
    <definedName name="inch" localSheetId="41">#REF!</definedName>
    <definedName name="inch">#REF!</definedName>
    <definedName name="jdsfjas" localSheetId="43">#REF!</definedName>
    <definedName name="jdsfjas" localSheetId="41">#REF!</definedName>
    <definedName name="jdsfjas">#REF!</definedName>
    <definedName name="jfaisdjfa" localSheetId="43">#REF!</definedName>
    <definedName name="jfaisdjfa" localSheetId="41">#REF!</definedName>
    <definedName name="jfaisdjfa">#REF!</definedName>
    <definedName name="jjjjjjjjj" localSheetId="30">{"'REV981'!$B$36:$F$52"}</definedName>
    <definedName name="jjjjjjjjj" localSheetId="44">{"'REV981'!$B$36:$F$52"}</definedName>
    <definedName name="jjjjjjjjj" localSheetId="50">{"'REV981'!$B$36:$F$52"}</definedName>
    <definedName name="jjjjjjjjj" localSheetId="14">{"'REV981'!$B$36:$F$52"}</definedName>
    <definedName name="jjjjjjjjj" localSheetId="31">{"'REV981'!$B$36:$F$52"}</definedName>
    <definedName name="jjjjjjjjj" localSheetId="41">{"'REV981'!$B$36:$F$52"}</definedName>
    <definedName name="jjjjjjjjj" localSheetId="45">{"'REV981'!$B$36:$F$52"}</definedName>
    <definedName name="jjjjjjjjj" localSheetId="47">{"'REV981'!$B$36:$F$52"}</definedName>
    <definedName name="jjjjjjjjj" localSheetId="7">{"'REV981'!$B$36:$F$52"}</definedName>
    <definedName name="jjjjjjjjj">{"'REV981'!$B$36:$F$52"}</definedName>
    <definedName name="K">#REF!</definedName>
    <definedName name="KOS" localSheetId="43">#REF!</definedName>
    <definedName name="KOS" localSheetId="41">#REF!</definedName>
    <definedName name="KOS">#REF!</definedName>
    <definedName name="KTn_adheridas_a_28_09_98" localSheetId="43">#REF!</definedName>
    <definedName name="KTn_adheridas_a_28_09_98" localSheetId="41">#REF!</definedName>
    <definedName name="KTn_adheridas_a_28_09_98">#REF!</definedName>
    <definedName name="kton_adheridas_a_28_09_98" localSheetId="43">#REF!</definedName>
    <definedName name="kton_adheridas_a_28_09_98" localSheetId="41">#REF!</definedName>
    <definedName name="kton_adheridas_a_28_09_98">#REF!</definedName>
    <definedName name="l">#REF!</definedName>
    <definedName name="Madera">#REF!</definedName>
    <definedName name="Margen" localSheetId="43">#REF!</definedName>
    <definedName name="Margen" localSheetId="41">#REF!</definedName>
    <definedName name="Margen">#REF!</definedName>
    <definedName name="Margen_IVA" localSheetId="43">#REF!</definedName>
    <definedName name="Margen_IVA" localSheetId="41">#REF!</definedName>
    <definedName name="Margen_IVA">#REF!</definedName>
    <definedName name="MaterialesF1">#REF!</definedName>
    <definedName name="MaterialesStock">#REF!</definedName>
    <definedName name="MP">#REF!</definedName>
    <definedName name="MuestraJIJ" localSheetId="30">{"'REV981'!$B$36:$F$52"}</definedName>
    <definedName name="MuestraJIJ" localSheetId="44">{"'REV981'!$B$36:$F$52"}</definedName>
    <definedName name="MuestraJIJ" localSheetId="50">{"'REV981'!$B$36:$F$52"}</definedName>
    <definedName name="MuestraJIJ" localSheetId="14">{"'REV981'!$B$36:$F$52"}</definedName>
    <definedName name="MuestraJIJ" localSheetId="31">{"'REV981'!$B$36:$F$52"}</definedName>
    <definedName name="MuestraJIJ" localSheetId="41">{"'REV981'!$B$36:$F$52"}</definedName>
    <definedName name="MuestraJIJ" localSheetId="45">{"'REV981'!$B$36:$F$52"}</definedName>
    <definedName name="MuestraJIJ" localSheetId="47">{"'REV981'!$B$36:$F$52"}</definedName>
    <definedName name="MuestraJIJ" localSheetId="7">{"'REV981'!$B$36:$F$52"}</definedName>
    <definedName name="MuestraJIJ">{"'REV981'!$B$36:$F$52"}</definedName>
    <definedName name="NFP_AC" localSheetId="43">#REF!</definedName>
    <definedName name="NFP_AC" localSheetId="41">#REF!</definedName>
    <definedName name="NFP_AC">#REF!</definedName>
    <definedName name="NFP_AL" localSheetId="43">#REF!</definedName>
    <definedName name="NFP_AL" localSheetId="41">#REF!</definedName>
    <definedName name="NFP_AL">#REF!</definedName>
    <definedName name="NFP_CB" localSheetId="43">#REF!</definedName>
    <definedName name="NFP_CB" localSheetId="41">#REF!</definedName>
    <definedName name="NFP_CB">#REF!</definedName>
    <definedName name="NFP_PEAD" localSheetId="43">#REF!</definedName>
    <definedName name="NFP_PEAD" localSheetId="41">#REF!</definedName>
    <definedName name="NFP_PEAD">#REF!</definedName>
    <definedName name="NFP_PET" localSheetId="43">#REF!</definedName>
    <definedName name="NFP_PET" localSheetId="41">#REF!</definedName>
    <definedName name="NFP_PET">#REF!</definedName>
    <definedName name="º">#REF!</definedName>
    <definedName name="Objetivos" localSheetId="43">#REF!</definedName>
    <definedName name="Objetivos" localSheetId="41">#REF!</definedName>
    <definedName name="Objetivos">#REF!</definedName>
    <definedName name="OP">#REF!</definedName>
    <definedName name="OPe" localSheetId="43">#REF!</definedName>
    <definedName name="OPe" localSheetId="41">#REF!</definedName>
    <definedName name="OPe">#REF!</definedName>
    <definedName name="Otros_Plásticos" localSheetId="43">#REF!</definedName>
    <definedName name="Otros_Plásticos" localSheetId="41">#REF!</definedName>
    <definedName name="Otros_Plásticos">#REF!</definedName>
    <definedName name="Otros_Plásticos_2" localSheetId="43">#REF!</definedName>
    <definedName name="Otros_Plásticos_2" localSheetId="41">#REF!</definedName>
    <definedName name="Otros_Plásticos_2">#REF!</definedName>
    <definedName name="P_C">#REF!</definedName>
    <definedName name="P_Ce" localSheetId="43">#REF!</definedName>
    <definedName name="P_Ce" localSheetId="41">#REF!</definedName>
    <definedName name="P_Ce">#REF!</definedName>
    <definedName name="Papel_Cartón" localSheetId="43">#REF!</definedName>
    <definedName name="Papel_Cartón" localSheetId="41">#REF!</definedName>
    <definedName name="Papel_Cartón">#REF!</definedName>
    <definedName name="Papel_cartón_2" localSheetId="43">#REF!</definedName>
    <definedName name="Papel_cartón_2" localSheetId="41">#REF!</definedName>
    <definedName name="Papel_cartón_2">#REF!</definedName>
    <definedName name="Papel_Cartón2" localSheetId="43">#REF!</definedName>
    <definedName name="Papel_Cartón2" localSheetId="41">#REF!</definedName>
    <definedName name="Papel_Cartón2">#REF!</definedName>
    <definedName name="Papel_Cartón3">#REF!</definedName>
    <definedName name="PC">#REF!</definedName>
    <definedName name="PEAD" localSheetId="43">#REF!</definedName>
    <definedName name="PEAD" localSheetId="41">#REF!</definedName>
    <definedName name="PEAD">#REF!</definedName>
    <definedName name="PEAD_2" localSheetId="43">#REF!</definedName>
    <definedName name="PEAD_2" localSheetId="41">#REF!</definedName>
    <definedName name="PEAD_2">#REF!</definedName>
    <definedName name="PEAD2" localSheetId="43">#REF!</definedName>
    <definedName name="PEAD2" localSheetId="41">#REF!</definedName>
    <definedName name="PEAD2">#REF!</definedName>
    <definedName name="PEAD3">#REF!</definedName>
    <definedName name="PEADe" localSheetId="43">#REF!</definedName>
    <definedName name="PEADe" localSheetId="41">#REF!</definedName>
    <definedName name="PEADe">#REF!</definedName>
    <definedName name="PEBD" localSheetId="43">#REF!</definedName>
    <definedName name="PEBD" localSheetId="41">#REF!</definedName>
    <definedName name="PEBD">#REF!</definedName>
    <definedName name="PEBD_2" localSheetId="43">#REF!</definedName>
    <definedName name="PEBD_2" localSheetId="41">#REF!</definedName>
    <definedName name="PEBD_2">#REF!</definedName>
    <definedName name="PEBD2" localSheetId="43">#REF!</definedName>
    <definedName name="PEBD2" localSheetId="41">#REF!</definedName>
    <definedName name="PEBD2">#REF!</definedName>
    <definedName name="PEBD3">#REF!</definedName>
    <definedName name="PEBDe" localSheetId="43">#REF!</definedName>
    <definedName name="PEBDe" localSheetId="41">#REF!</definedName>
    <definedName name="PEBDe">#REF!</definedName>
    <definedName name="PET" localSheetId="43">#REF!</definedName>
    <definedName name="PET" localSheetId="41">#REF!</definedName>
    <definedName name="PET">#REF!</definedName>
    <definedName name="PET__2" localSheetId="43">#REF!</definedName>
    <definedName name="PET__2" localSheetId="41">#REF!</definedName>
    <definedName name="PET__2">#REF!</definedName>
    <definedName name="PET_2">#REF!</definedName>
    <definedName name="PETe" localSheetId="43">#REF!</definedName>
    <definedName name="PETe" localSheetId="41">#REF!</definedName>
    <definedName name="PETe">#REF!</definedName>
    <definedName name="PLANTAS" localSheetId="43">#REF!</definedName>
    <definedName name="PLANTAS" localSheetId="41">#REF!</definedName>
    <definedName name="PLANTAS">#REF!</definedName>
    <definedName name="Presupusto_2005___kg___LINEAS_ACTIVIDAD" localSheetId="43">#REF!</definedName>
    <definedName name="Presupusto_2005___kg___LINEAS_ACTIVIDAD" localSheetId="41">#REF!</definedName>
    <definedName name="Presupusto_2005___kg___LINEAS_ACTIVIDAD">#REF!</definedName>
    <definedName name="Previsión_de_kton" localSheetId="43">#REF!</definedName>
    <definedName name="Previsión_de_kton" localSheetId="41">#REF!</definedName>
    <definedName name="Previsión_de_kton">#REF!</definedName>
    <definedName name="Previsión_de_Tn_" localSheetId="43">#REF!</definedName>
    <definedName name="Previsión_de_Tn_" localSheetId="41">#REF!</definedName>
    <definedName name="Previsión_de_Tn_">#REF!</definedName>
    <definedName name="Previsión_envases_en_kton" localSheetId="43">#REF!</definedName>
    <definedName name="Previsión_envases_en_kton" localSheetId="41">#REF!</definedName>
    <definedName name="Previsión_envases_en_kton">#REF!</definedName>
    <definedName name="Previsión_envases_en_RSU__Tn" localSheetId="43">#REF!</definedName>
    <definedName name="Previsión_envases_en_RSU__Tn" localSheetId="41">#REF!</definedName>
    <definedName name="Previsión_envases_en_RSU__Tn">#REF!</definedName>
    <definedName name="PVC" localSheetId="43">#REF!</definedName>
    <definedName name="PVC" localSheetId="41">#REF!</definedName>
    <definedName name="PVC">#REF!</definedName>
    <definedName name="PVC_2" localSheetId="43">#REF!</definedName>
    <definedName name="PVC_2" localSheetId="41">#REF!</definedName>
    <definedName name="PVC_2">#REF!</definedName>
    <definedName name="PVCe" localSheetId="43">#REF!</definedName>
    <definedName name="PVCe" localSheetId="41">#REF!</definedName>
    <definedName name="PVCe">#REF!</definedName>
    <definedName name="PVCs">#REF!</definedName>
    <definedName name="R_Acera" localSheetId="43">#REF!</definedName>
    <definedName name="R_Acera" localSheetId="41">#REF!</definedName>
    <definedName name="R_Acera">#REF!</definedName>
    <definedName name="R_Iglú" localSheetId="43">#REF!</definedName>
    <definedName name="R_Iglú" localSheetId="41">#REF!</definedName>
    <definedName name="R_Iglú">#REF!</definedName>
    <definedName name="R_Mono" localSheetId="43">#REF!</definedName>
    <definedName name="R_Mono" localSheetId="41">#REF!</definedName>
    <definedName name="R_Mono">#REF!</definedName>
    <definedName name="R_pta_a_pta" localSheetId="43">#REF!</definedName>
    <definedName name="R_pta_a_pta" localSheetId="41">#REF!</definedName>
    <definedName name="R_pta_a_pta">#REF!</definedName>
    <definedName name="Rechazo">#REF!</definedName>
    <definedName name="Rechazo_Julio" localSheetId="43">#REF!</definedName>
    <definedName name="Rechazo_Julio" localSheetId="41">#REF!</definedName>
    <definedName name="Rechazo_Julio">#REF!</definedName>
    <definedName name="rechp" localSheetId="43">#REF!</definedName>
    <definedName name="rechp" localSheetId="41">#REF!</definedName>
    <definedName name="rechp">#REF!</definedName>
    <definedName name="Recogida_01" localSheetId="43">#REF!</definedName>
    <definedName name="Recogida_01" localSheetId="41">#REF!</definedName>
    <definedName name="Recogida_01">#REF!</definedName>
    <definedName name="Recogida_Julio" localSheetId="43">#REF!</definedName>
    <definedName name="Recogida_Julio" localSheetId="41">#REF!</definedName>
    <definedName name="Recogida_Julio">#REF!</definedName>
    <definedName name="Recogidas">#REF!</definedName>
    <definedName name="Rendimiento">#REF!</definedName>
    <definedName name="Resto_de_Plásticos">#REF!</definedName>
    <definedName name="Resto_de_Plásticos2" localSheetId="43">#REF!</definedName>
    <definedName name="Resto_de_Plásticos2" localSheetId="41">#REF!</definedName>
    <definedName name="Resto_de_Plásticos2">#REF!</definedName>
    <definedName name="Resto_de_Plásticos3">#REF!</definedName>
    <definedName name="rqwrqwrq" localSheetId="43">#REF!</definedName>
    <definedName name="rqwrqwrq" localSheetId="41">#REF!</definedName>
    <definedName name="rqwrqwrq">#REF!</definedName>
    <definedName name="s">#REF!</definedName>
    <definedName name="S_Acera" localSheetId="43">#REF!</definedName>
    <definedName name="S_Acera" localSheetId="41">#REF!</definedName>
    <definedName name="S_Acera">#REF!</definedName>
    <definedName name="S_Iglú" localSheetId="43">#REF!</definedName>
    <definedName name="S_Iglú" localSheetId="41">#REF!</definedName>
    <definedName name="S_Iglú">#REF!</definedName>
    <definedName name="Sa" localSheetId="43">#REF!</definedName>
    <definedName name="Sa" localSheetId="41">#REF!</definedName>
    <definedName name="Sa">#REF!</definedName>
    <definedName name="Salidas">#REF!</definedName>
    <definedName name="SDFGSG" localSheetId="43">#REF!</definedName>
    <definedName name="SDFGSG" localSheetId="41">#REF!</definedName>
    <definedName name="SDFGSG">#REF!</definedName>
    <definedName name="SR">#REF!</definedName>
    <definedName name="sss" localSheetId="30">{"'REV981'!$B$36:$F$52"}</definedName>
    <definedName name="sss" localSheetId="44">{"'REV981'!$B$36:$F$52"}</definedName>
    <definedName name="sss" localSheetId="50">{"'REV981'!$B$36:$F$52"}</definedName>
    <definedName name="sss" localSheetId="14">{"'REV981'!$B$36:$F$52"}</definedName>
    <definedName name="sss" localSheetId="31">{"'REV981'!$B$36:$F$52"}</definedName>
    <definedName name="sss" localSheetId="41">{"'REV981'!$B$36:$F$52"}</definedName>
    <definedName name="sss" localSheetId="45">{"'REV981'!$B$36:$F$52"}</definedName>
    <definedName name="sss" localSheetId="47">{"'REV981'!$B$36:$F$52"}</definedName>
    <definedName name="sss" localSheetId="7">{"'REV981'!$B$36:$F$52"}</definedName>
    <definedName name="sss">{"'REV981'!$B$36:$F$52"}</definedName>
    <definedName name="St">#REF!</definedName>
    <definedName name="Stf">#REF!</definedName>
    <definedName name="Sto">#REF!</definedName>
    <definedName name="t" localSheetId="43">#REF!</definedName>
    <definedName name="t" localSheetId="41">#REF!</definedName>
    <definedName name="t">#REF!</definedName>
    <definedName name="TABLA_ACERO">(#REF!,#REF!)</definedName>
    <definedName name="tablita">(#REF!,#REF!)</definedName>
    <definedName name="Tipo_Modelo" localSheetId="43">#REF!</definedName>
    <definedName name="Tipo_Modelo" localSheetId="41">#REF!</definedName>
    <definedName name="Tipo_Modelo">#REF!</definedName>
    <definedName name="_xlnm.Print_Titles" localSheetId="53">'Tabla 1.5-31 a 49'!$1:$3</definedName>
    <definedName name="_xlnm.Print_Titles" localSheetId="54">'Tabla 1.5-50 a 70 '!$1:$4</definedName>
    <definedName name="Tn_Eelll_P_C_previstas" localSheetId="43">#REF!</definedName>
    <definedName name="Tn_Eelll_P_C_previstas" localSheetId="41">#REF!</definedName>
    <definedName name="Tn_Eelll_P_C_previstas">#REF!</definedName>
    <definedName name="Total_EELL" localSheetId="43">#REF!</definedName>
    <definedName name="Total_EELL" localSheetId="41">#REF!</definedName>
    <definedName name="Total_EELL">#REF!</definedName>
    <definedName name="Total_EELL___P_C_2" localSheetId="43">#REF!</definedName>
    <definedName name="Total_EELL___P_C_2" localSheetId="41">#REF!</definedName>
    <definedName name="Total_EELL___P_C_2">#REF!</definedName>
    <definedName name="Total_EELL___P_C_Eprem_caract" localSheetId="43">#REF!</definedName>
    <definedName name="Total_EELL___P_C_Eprem_caract" localSheetId="41">#REF!</definedName>
    <definedName name="Total_EELL___P_C_Eprem_caract">#REF!</definedName>
    <definedName name="Total_EELL___P_C_Sasie_caract" localSheetId="43">#REF!</definedName>
    <definedName name="Total_EELL___P_C_Sasie_caract" localSheetId="41">#REF!</definedName>
    <definedName name="Total_EELL___P_C_Sasie_caract">#REF!</definedName>
    <definedName name="Total_EELL_98" localSheetId="43">#REF!</definedName>
    <definedName name="Total_EELL_98" localSheetId="41">#REF!</definedName>
    <definedName name="Total_EELL_98">#REF!</definedName>
    <definedName name="Total_EELL_98_2_Pinto" localSheetId="43">#REF!</definedName>
    <definedName name="Total_EELL_98_2_Pinto" localSheetId="41">#REF!</definedName>
    <definedName name="Total_EELL_98_2_Pinto">#REF!</definedName>
    <definedName name="Total_EELL_98_3_Pinto" localSheetId="43">#REF!</definedName>
    <definedName name="Total_EELL_98_3_Pinto" localSheetId="41">#REF!</definedName>
    <definedName name="Total_EELL_98_3_Pinto">#REF!</definedName>
    <definedName name="Total_EELL_98_Epremasa" localSheetId="43">#REF!</definedName>
    <definedName name="Total_EELL_98_Epremasa" localSheetId="41">#REF!</definedName>
    <definedName name="Total_EELL_98_Epremasa">#REF!</definedName>
    <definedName name="Total_EELL_98_Epremasa_2" localSheetId="43">#REF!</definedName>
    <definedName name="Total_EELL_98_Epremasa_2" localSheetId="41">#REF!</definedName>
    <definedName name="Total_EELL_98_Epremasa_2">#REF!</definedName>
    <definedName name="Total_EELL_98_Epremasa_3" localSheetId="43">#REF!</definedName>
    <definedName name="Total_EELL_98_Epremasa_3" localSheetId="41">#REF!</definedName>
    <definedName name="Total_EELL_98_Epremasa_3">#REF!</definedName>
    <definedName name="Total_EELL_98_G" localSheetId="43">#REF!</definedName>
    <definedName name="Total_EELL_98_G" localSheetId="41">#REF!</definedName>
    <definedName name="Total_EELL_98_G">#REF!</definedName>
    <definedName name="Total_EELL_98_Ga" localSheetId="43">#REF!</definedName>
    <definedName name="Total_EELL_98_Ga" localSheetId="41">#REF!</definedName>
    <definedName name="Total_EELL_98_Ga">#REF!</definedName>
    <definedName name="Total_EELL_98_Ga_2" localSheetId="43">#REF!</definedName>
    <definedName name="Total_EELL_98_Ga_2" localSheetId="41">#REF!</definedName>
    <definedName name="Total_EELL_98_Ga_2">#REF!</definedName>
    <definedName name="Total_EELL_98_Gavá" localSheetId="43">#REF!</definedName>
    <definedName name="Total_EELL_98_Gavá" localSheetId="41">#REF!</definedName>
    <definedName name="Total_EELL_98_Gavá">#REF!</definedName>
    <definedName name="Total_EELL_98_Gavá_2" localSheetId="43">#REF!</definedName>
    <definedName name="Total_EELL_98_Gavá_2" localSheetId="41">#REF!</definedName>
    <definedName name="Total_EELL_98_Gavá_2">#REF!</definedName>
    <definedName name="Total_EELL_98_Gavá_3" localSheetId="43">#REF!</definedName>
    <definedName name="Total_EELL_98_Gavá_3" localSheetId="41">#REF!</definedName>
    <definedName name="Total_EELL_98_Gavá_3">#REF!</definedName>
    <definedName name="Total_EELL_98_Gavá_4" localSheetId="43">#REF!</definedName>
    <definedName name="Total_EELL_98_Gavá_4" localSheetId="41">#REF!</definedName>
    <definedName name="Total_EELL_98_Gavá_4">#REF!</definedName>
    <definedName name="Total_EELL_98_Gavá_5" localSheetId="43">#REF!</definedName>
    <definedName name="Total_EELL_98_Gavá_5" localSheetId="41">#REF!</definedName>
    <definedName name="Total_EELL_98_Gavá_5">#REF!</definedName>
    <definedName name="Total_EELL_98_Sasieta" localSheetId="43">#REF!</definedName>
    <definedName name="Total_EELL_98_Sasieta" localSheetId="41">#REF!</definedName>
    <definedName name="Total_EELL_98_Sasieta">#REF!</definedName>
    <definedName name="Total_EELL_98_Sasieta_2" localSheetId="43">#REF!</definedName>
    <definedName name="Total_EELL_98_Sasieta_2" localSheetId="41">#REF!</definedName>
    <definedName name="Total_EELL_98_Sasieta_2">#REF!</definedName>
    <definedName name="Total_EELL_98_Sasieta_3" localSheetId="43">#REF!</definedName>
    <definedName name="Total_EELL_98_Sasieta_3" localSheetId="41">#REF!</definedName>
    <definedName name="Total_EELL_98_Sasieta_3">#REF!</definedName>
    <definedName name="TOTAL_Et" localSheetId="43">#REF!</definedName>
    <definedName name="TOTAL_Et" localSheetId="41">#REF!</definedName>
    <definedName name="TOTAL_Et">#REF!</definedName>
    <definedName name="Total_Sec" localSheetId="43">#REF!</definedName>
    <definedName name="Total_Sec" localSheetId="41">#REF!</definedName>
    <definedName name="Total_Sec">#REF!</definedName>
    <definedName name="Total_sólo_EELL" localSheetId="43">#REF!</definedName>
    <definedName name="Total_sólo_EELL" localSheetId="41">#REF!</definedName>
    <definedName name="Total_sólo_EELL">#REF!</definedName>
    <definedName name="Total_sólo_EELL_2_Pinto" localSheetId="43">#REF!</definedName>
    <definedName name="Total_sólo_EELL_2_Pinto" localSheetId="41">#REF!</definedName>
    <definedName name="Total_sólo_EELL_2_Pinto">#REF!</definedName>
    <definedName name="Total_sólo_EELL_3_Pinto" localSheetId="43">#REF!</definedName>
    <definedName name="Total_sólo_EELL_3_Pinto" localSheetId="41">#REF!</definedName>
    <definedName name="Total_sólo_EELL_3_Pinto">#REF!</definedName>
    <definedName name="Total_sólo_EELL_Eprem_caract" localSheetId="43">#REF!</definedName>
    <definedName name="Total_sólo_EELL_Eprem_caract" localSheetId="41">#REF!</definedName>
    <definedName name="Total_sólo_EELL_Eprem_caract">#REF!</definedName>
    <definedName name="Total_sólo_EELL_Epremasa" localSheetId="43">#REF!</definedName>
    <definedName name="Total_sólo_EELL_Epremasa" localSheetId="41">#REF!</definedName>
    <definedName name="Total_sólo_EELL_Epremasa">#REF!</definedName>
    <definedName name="Total_sólo_EELL_Epremasa_2" localSheetId="43">#REF!</definedName>
    <definedName name="Total_sólo_EELL_Epremasa_2" localSheetId="41">#REF!</definedName>
    <definedName name="Total_sólo_EELL_Epremasa_2">#REF!</definedName>
    <definedName name="Total_sólo_EELL_Epremasa_3" localSheetId="43">#REF!</definedName>
    <definedName name="Total_sólo_EELL_Epremasa_3" localSheetId="41">#REF!</definedName>
    <definedName name="Total_sólo_EELL_Epremasa_3">#REF!</definedName>
    <definedName name="Total_sólo_EELL_G" localSheetId="43">#REF!</definedName>
    <definedName name="Total_sólo_EELL_G" localSheetId="41">#REF!</definedName>
    <definedName name="Total_sólo_EELL_G">#REF!</definedName>
    <definedName name="Total_sólo_EELL_Ga" localSheetId="43">#REF!</definedName>
    <definedName name="Total_sólo_EELL_Ga" localSheetId="41">#REF!</definedName>
    <definedName name="Total_sólo_EELL_Ga">#REF!</definedName>
    <definedName name="Total_sólo_EELL_Ga_2" localSheetId="43">#REF!</definedName>
    <definedName name="Total_sólo_EELL_Ga_2" localSheetId="41">#REF!</definedName>
    <definedName name="Total_sólo_EELL_Ga_2">#REF!</definedName>
    <definedName name="Total_sólo_EELL_Gavá" localSheetId="43">#REF!</definedName>
    <definedName name="Total_sólo_EELL_Gavá" localSheetId="41">#REF!</definedName>
    <definedName name="Total_sólo_EELL_Gavá">#REF!</definedName>
    <definedName name="Total_sólo_EELL_Gavá_2" localSheetId="43">#REF!</definedName>
    <definedName name="Total_sólo_EELL_Gavá_2" localSheetId="41">#REF!</definedName>
    <definedName name="Total_sólo_EELL_Gavá_2">#REF!</definedName>
    <definedName name="Total_sólo_EELL_Gavá_3" localSheetId="43">#REF!</definedName>
    <definedName name="Total_sólo_EELL_Gavá_3" localSheetId="41">#REF!</definedName>
    <definedName name="Total_sólo_EELL_Gavá_3">#REF!</definedName>
    <definedName name="Total_sólo_EELL_Gavá_4" localSheetId="43">#REF!</definedName>
    <definedName name="Total_sólo_EELL_Gavá_4" localSheetId="41">#REF!</definedName>
    <definedName name="Total_sólo_EELL_Gavá_4">#REF!</definedName>
    <definedName name="Total_sólo_EELL_Gavá_5" localSheetId="43">#REF!</definedName>
    <definedName name="Total_sólo_EELL_Gavá_5" localSheetId="41">#REF!</definedName>
    <definedName name="Total_sólo_EELL_Gavá_5">#REF!</definedName>
    <definedName name="Total_sólo_EELL_Sasie_caract" localSheetId="43">#REF!</definedName>
    <definedName name="Total_sólo_EELL_Sasie_caract" localSheetId="41">#REF!</definedName>
    <definedName name="Total_sólo_EELL_Sasie_caract">#REF!</definedName>
    <definedName name="Total_sólo_EELL_Sasieta" localSheetId="43">#REF!</definedName>
    <definedName name="Total_sólo_EELL_Sasieta" localSheetId="41">#REF!</definedName>
    <definedName name="Total_sólo_EELL_Sasieta">#REF!</definedName>
    <definedName name="Total_sólo_EELL_Sasieta_2" localSheetId="43">#REF!</definedName>
    <definedName name="Total_sólo_EELL_Sasieta_2" localSheetId="41">#REF!</definedName>
    <definedName name="Total_sólo_EELL_Sasieta_2">#REF!</definedName>
    <definedName name="Total_sólo_EELL_Sasieta_3" localSheetId="43">#REF!</definedName>
    <definedName name="Total_sólo_EELL_Sasieta_3" localSheetId="41">#REF!</definedName>
    <definedName name="Total_sólo_EELL_Sasieta_3">#REF!</definedName>
    <definedName name="V_Stf_Sto">#REF!</definedName>
    <definedName name="Valorización" localSheetId="43">#REF!</definedName>
    <definedName name="Valorización" localSheetId="41">#REF!</definedName>
    <definedName name="Valorización">#REF!</definedName>
    <definedName name="Venta_P_C_mono" localSheetId="43">#REF!</definedName>
    <definedName name="Venta_P_C_mono" localSheetId="41">#REF!</definedName>
    <definedName name="Venta_P_C_mono">#REF!</definedName>
    <definedName name="Vr" localSheetId="43">#REF!</definedName>
    <definedName name="Vr" localSheetId="41">#REF!</definedName>
    <definedName name="Vr">#REF!</definedName>
    <definedName name="xx" localSheetId="30">{"'REV981'!$B$36:$F$52"}</definedName>
    <definedName name="xx" localSheetId="44">{"'REV981'!$B$36:$F$52"}</definedName>
    <definedName name="xx" localSheetId="50">{"'REV981'!$B$36:$F$52"}</definedName>
    <definedName name="xx" localSheetId="14">{"'REV981'!$B$36:$F$52"}</definedName>
    <definedName name="xx" localSheetId="31">{"'REV981'!$B$36:$F$52"}</definedName>
    <definedName name="xx" localSheetId="41">{"'REV981'!$B$36:$F$52"}</definedName>
    <definedName name="xx" localSheetId="45">{"'REV981'!$B$36:$F$52"}</definedName>
    <definedName name="xx" localSheetId="47">{"'REV981'!$B$36:$F$52"}</definedName>
    <definedName name="xx" localSheetId="7">{"'REV981'!$B$36:$F$52"}</definedName>
    <definedName name="xx">{"'REV981'!$B$36:$F$52"}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 r="O6" i="36" l="1"/>
  <c r="D15" i="74"/>
  <c r="B15" i="74"/>
  <c r="O8" i="55"/>
  <c r="O6" i="55"/>
  <c r="N8" i="55"/>
  <c r="M8" i="55"/>
  <c r="M6" i="55"/>
  <c r="N6" i="55"/>
  <c r="K11" i="66"/>
  <c r="J11" i="66"/>
  <c r="I11" i="66"/>
  <c r="H11" i="66"/>
  <c r="G11" i="66"/>
  <c r="F11" i="66"/>
  <c r="E11" i="66"/>
  <c r="D11" i="66"/>
  <c r="C11" i="66"/>
  <c r="B11" i="66"/>
  <c r="K10" i="66"/>
  <c r="J10" i="66"/>
  <c r="H10" i="66"/>
  <c r="G10" i="66"/>
  <c r="F10" i="66"/>
  <c r="E10" i="66"/>
  <c r="D10" i="66"/>
  <c r="C10" i="66"/>
  <c r="B10" i="66"/>
  <c r="M8" i="66"/>
  <c r="L7" i="66"/>
  <c r="K7" i="66"/>
  <c r="J7" i="66"/>
  <c r="I7" i="66"/>
  <c r="H7" i="66"/>
  <c r="G7" i="66"/>
  <c r="F7" i="66"/>
  <c r="E7" i="66"/>
  <c r="D7" i="66"/>
  <c r="C7" i="66"/>
  <c r="B7" i="66"/>
  <c r="L6" i="66"/>
  <c r="L11" i="66" s="1"/>
  <c r="M4" i="66"/>
  <c r="B14" i="61"/>
  <c r="D13" i="61"/>
  <c r="C13" i="61"/>
  <c r="D12" i="61"/>
  <c r="C12" i="61"/>
  <c r="L10" i="66" l="1"/>
  <c r="J114" i="54" l="1"/>
  <c r="J113" i="54"/>
  <c r="C24" i="41" l="1"/>
  <c r="F4" i="30"/>
  <c r="L6" i="29"/>
  <c r="K6" i="29"/>
  <c r="J6" i="29"/>
  <c r="I6" i="29"/>
  <c r="H6" i="29"/>
  <c r="G6" i="29"/>
  <c r="F6" i="29"/>
  <c r="D6" i="29"/>
  <c r="C6" i="29"/>
  <c r="B6" i="29"/>
  <c r="M6" i="61" l="1"/>
  <c r="M4" i="61"/>
  <c r="M8" i="54" l="1"/>
  <c r="M6" i="54"/>
  <c r="M5" i="54"/>
  <c r="D4" i="38" l="1"/>
  <c r="C4" i="37" l="1"/>
  <c r="D8" i="37"/>
  <c r="I19" i="33" l="1"/>
  <c r="M75" i="54" l="1"/>
  <c r="O14" i="55" s="1"/>
  <c r="O6" i="32" l="1"/>
  <c r="M77" i="54"/>
  <c r="M78" i="54"/>
  <c r="D7" i="62" l="1"/>
  <c r="C7" i="62"/>
  <c r="B7" i="62"/>
  <c r="B11" i="11" l="1"/>
  <c r="J14" i="4" l="1"/>
  <c r="K14" i="4"/>
  <c r="L14" i="4"/>
  <c r="M14" i="4"/>
  <c r="I5" i="5" l="1"/>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4"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F6" i="65" l="1"/>
  <c r="N6" i="65"/>
  <c r="F7" i="65"/>
  <c r="F9" i="65"/>
  <c r="F11" i="65"/>
  <c r="F8" i="65"/>
  <c r="F10" i="65"/>
  <c r="F12" i="65"/>
  <c r="N7" i="65"/>
  <c r="N9" i="65"/>
  <c r="N11" i="65"/>
  <c r="N8" i="65"/>
  <c r="N10" i="65"/>
  <c r="N12" i="65"/>
  <c r="D5" i="33"/>
  <c r="D6" i="33"/>
  <c r="D7" i="33"/>
  <c r="D8" i="33"/>
  <c r="D9" i="33"/>
  <c r="D10" i="33"/>
  <c r="D11" i="33"/>
  <c r="D12" i="33"/>
  <c r="D14" i="33"/>
  <c r="D15" i="33"/>
  <c r="D16" i="33"/>
  <c r="D20" i="33"/>
  <c r="D4" i="33"/>
  <c r="C19" i="33"/>
  <c r="D19" i="33" s="1"/>
  <c r="C18" i="33"/>
  <c r="D18" i="33" s="1"/>
  <c r="C17" i="33"/>
  <c r="D17" i="33" s="1"/>
  <c r="C13" i="33"/>
  <c r="D13" i="33" s="1"/>
  <c r="F5" i="33"/>
  <c r="F6" i="33"/>
  <c r="F7" i="33"/>
  <c r="F8" i="33"/>
  <c r="F9" i="33"/>
  <c r="F10" i="33"/>
  <c r="F11" i="33"/>
  <c r="F12" i="33"/>
  <c r="F14" i="33"/>
  <c r="F15" i="33"/>
  <c r="F16" i="33"/>
  <c r="F20" i="33"/>
  <c r="F4" i="33"/>
  <c r="E19" i="33"/>
  <c r="F19" i="33" s="1"/>
  <c r="E18" i="33"/>
  <c r="F18" i="33" s="1"/>
  <c r="E17" i="33"/>
  <c r="F17" i="33" s="1"/>
  <c r="E13" i="33"/>
  <c r="F13" i="33" s="1"/>
  <c r="H20" i="33"/>
  <c r="H5" i="33"/>
  <c r="H6" i="33"/>
  <c r="H7" i="33"/>
  <c r="H8" i="33"/>
  <c r="H9" i="33"/>
  <c r="H10" i="33"/>
  <c r="H11" i="33"/>
  <c r="H12" i="33"/>
  <c r="H14" i="33"/>
  <c r="H15" i="33"/>
  <c r="H16" i="33"/>
  <c r="H4" i="33"/>
  <c r="G19" i="33"/>
  <c r="H19" i="33" s="1"/>
  <c r="G18" i="33"/>
  <c r="H18" i="33" s="1"/>
  <c r="G17" i="33"/>
  <c r="H17" i="33" s="1"/>
  <c r="G13" i="33"/>
  <c r="H13" i="33" s="1"/>
  <c r="J5" i="33"/>
  <c r="J6" i="33"/>
  <c r="J7" i="33"/>
  <c r="J8" i="33"/>
  <c r="J9" i="33"/>
  <c r="J10" i="33"/>
  <c r="J11" i="33"/>
  <c r="J12" i="33"/>
  <c r="J14" i="33"/>
  <c r="J15" i="33"/>
  <c r="J16" i="33"/>
  <c r="J19" i="33"/>
  <c r="J20" i="33"/>
  <c r="J4" i="33"/>
  <c r="I18" i="33"/>
  <c r="J18" i="33" s="1"/>
  <c r="I17" i="33"/>
  <c r="J17" i="33" s="1"/>
  <c r="I13" i="33"/>
  <c r="J13" i="33" s="1"/>
  <c r="L5" i="33"/>
  <c r="L6" i="33"/>
  <c r="L7" i="33"/>
  <c r="L8" i="33"/>
  <c r="L9" i="33"/>
  <c r="L10" i="33"/>
  <c r="L11" i="33"/>
  <c r="L12" i="33"/>
  <c r="L14" i="33"/>
  <c r="L15" i="33"/>
  <c r="L16" i="33"/>
  <c r="L20" i="33"/>
  <c r="L4" i="33"/>
  <c r="K19" i="33"/>
  <c r="L19" i="33" s="1"/>
  <c r="K18" i="33"/>
  <c r="L18" i="33" s="1"/>
  <c r="K17" i="33"/>
  <c r="L17" i="33" s="1"/>
  <c r="K13" i="33"/>
  <c r="L13" i="33" s="1"/>
  <c r="N5" i="33"/>
  <c r="N6" i="33"/>
  <c r="N7" i="33"/>
  <c r="N8" i="33"/>
  <c r="N9" i="33"/>
  <c r="N10" i="33"/>
  <c r="N11" i="33"/>
  <c r="N12" i="33"/>
  <c r="N14" i="33"/>
  <c r="N15" i="33"/>
  <c r="N16" i="33"/>
  <c r="N4" i="33"/>
  <c r="M19" i="33"/>
  <c r="N19" i="33" s="1"/>
  <c r="M18" i="33"/>
  <c r="N18" i="33" s="1"/>
  <c r="M17" i="33"/>
  <c r="N17" i="33" s="1"/>
  <c r="M13" i="33"/>
  <c r="N13" i="33" s="1"/>
  <c r="P5" i="33"/>
  <c r="P6" i="33"/>
  <c r="P7" i="33"/>
  <c r="P8" i="33"/>
  <c r="P9" i="33"/>
  <c r="P10" i="33"/>
  <c r="P11" i="33"/>
  <c r="P12" i="33"/>
  <c r="P13" i="33"/>
  <c r="P14" i="33"/>
  <c r="P15" i="33"/>
  <c r="P16" i="33"/>
  <c r="P17" i="33"/>
  <c r="P18" i="33"/>
  <c r="P20" i="33"/>
  <c r="P4" i="33"/>
  <c r="O19" i="33"/>
  <c r="P19" i="33" s="1"/>
  <c r="Q6" i="65" l="1"/>
  <c r="M33" i="54" s="1"/>
  <c r="F13" i="65"/>
  <c r="Q12" i="65"/>
  <c r="M39" i="54" s="1"/>
  <c r="Q8" i="65"/>
  <c r="M35" i="54" s="1"/>
  <c r="Q9" i="65"/>
  <c r="M36" i="54" s="1"/>
  <c r="Q10" i="65"/>
  <c r="M37" i="54" s="1"/>
  <c r="Q11" i="65"/>
  <c r="M38" i="54" s="1"/>
  <c r="Q7" i="65"/>
  <c r="M34" i="54" s="1"/>
  <c r="Q13" i="65" l="1"/>
  <c r="M31" i="54" s="1"/>
  <c r="B8" i="46"/>
  <c r="B7" i="50" l="1"/>
  <c r="C7" i="50"/>
  <c r="O4" i="51" s="1"/>
  <c r="B7" i="48" l="1"/>
  <c r="C7" i="48"/>
  <c r="B9" i="46"/>
  <c r="M13" i="65" l="1"/>
  <c r="K13" i="65"/>
  <c r="J13" i="65"/>
  <c r="C13" i="65"/>
  <c r="D13" i="65"/>
  <c r="B13" i="65"/>
  <c r="N13" i="65"/>
  <c r="G11" i="65"/>
  <c r="G7" i="65"/>
  <c r="G9" i="65"/>
  <c r="G12" i="65"/>
  <c r="S7" i="65"/>
  <c r="O58" i="55" s="1"/>
  <c r="S8" i="65"/>
  <c r="O59" i="55" s="1"/>
  <c r="S9" i="65"/>
  <c r="O60" i="55" s="1"/>
  <c r="S10" i="65"/>
  <c r="O61" i="55" s="1"/>
  <c r="S11" i="65"/>
  <c r="O62" i="55" s="1"/>
  <c r="S12" i="65"/>
  <c r="O63" i="55" s="1"/>
  <c r="P7" i="65"/>
  <c r="P9" i="65"/>
  <c r="P11" i="65"/>
  <c r="I7" i="65"/>
  <c r="I8" i="65"/>
  <c r="I9" i="65"/>
  <c r="I10" i="65"/>
  <c r="I11" i="65"/>
  <c r="O13" i="65" l="1"/>
  <c r="P13" i="65" s="1"/>
  <c r="O56" i="55" s="1"/>
  <c r="H13" i="65"/>
  <c r="R13" i="65"/>
  <c r="S13" i="65" s="1"/>
  <c r="I6" i="65"/>
  <c r="P12" i="65"/>
  <c r="P10" i="65"/>
  <c r="S6" i="65"/>
  <c r="D12" i="64"/>
  <c r="D16" i="64" s="1"/>
  <c r="L5" i="45"/>
  <c r="P6" i="65"/>
  <c r="E13" i="65"/>
  <c r="B12" i="64"/>
  <c r="B18" i="64" s="1"/>
  <c r="C12" i="64"/>
  <c r="G6" i="65"/>
  <c r="G8" i="65"/>
  <c r="G10" i="65"/>
  <c r="L13" i="65"/>
  <c r="O5" i="32"/>
  <c r="O57" i="55" l="1"/>
  <c r="O54" i="55"/>
  <c r="D17" i="64"/>
  <c r="D15" i="64"/>
  <c r="D21" i="64"/>
  <c r="D18" i="64"/>
  <c r="D19" i="64"/>
  <c r="D20" i="64"/>
  <c r="C17" i="64"/>
  <c r="C19" i="64"/>
  <c r="C21" i="64"/>
  <c r="C15" i="64"/>
  <c r="C20" i="64"/>
  <c r="C16" i="64"/>
  <c r="B17" i="64"/>
  <c r="B19" i="64"/>
  <c r="B21" i="64"/>
  <c r="L4" i="45"/>
  <c r="L7" i="45" s="1"/>
  <c r="O53" i="55" s="1"/>
  <c r="I13" i="65"/>
  <c r="O55" i="55" s="1"/>
  <c r="G13" i="65"/>
  <c r="B20" i="64"/>
  <c r="B16" i="64"/>
  <c r="C18" i="64"/>
  <c r="B15" i="64"/>
  <c r="M24" i="54"/>
  <c r="M25" i="54"/>
  <c r="M26" i="54"/>
  <c r="B14" i="64" l="1"/>
  <c r="D14" i="64"/>
  <c r="U5" i="24"/>
  <c r="M28" i="54"/>
  <c r="C14" i="64"/>
  <c r="B11" i="19"/>
  <c r="O37" i="55" l="1"/>
  <c r="M23" i="54"/>
  <c r="B10" i="19" l="1"/>
  <c r="B8" i="19"/>
  <c r="I4" i="16"/>
  <c r="B11" i="15" l="1"/>
  <c r="M22" i="54" l="1"/>
  <c r="B10" i="15" l="1"/>
  <c r="F4" i="12"/>
  <c r="F6" i="12"/>
  <c r="F8" i="12"/>
  <c r="F10" i="12"/>
  <c r="F5" i="12"/>
  <c r="F7" i="12"/>
  <c r="F9" i="12"/>
  <c r="F11" i="12"/>
  <c r="B8" i="15"/>
  <c r="O35" i="55"/>
  <c r="B10" i="11" l="1"/>
  <c r="M9" i="54" l="1"/>
  <c r="M21" i="54"/>
  <c r="B8" i="11"/>
  <c r="O36" i="55"/>
  <c r="L6" i="45" l="1"/>
  <c r="C5" i="38"/>
  <c r="O7" i="32"/>
  <c r="M99" i="54" s="1"/>
  <c r="N7" i="32"/>
  <c r="M7" i="32"/>
  <c r="L7" i="32"/>
  <c r="K7" i="32"/>
  <c r="J7" i="32"/>
  <c r="I7" i="32"/>
  <c r="H7" i="32"/>
  <c r="G7" i="32"/>
  <c r="F7" i="32"/>
  <c r="E7" i="32"/>
  <c r="D7" i="32"/>
  <c r="C7" i="32"/>
  <c r="B7" i="32"/>
  <c r="C7" i="23"/>
  <c r="B7" i="23"/>
  <c r="F6" i="22"/>
  <c r="F7" i="22"/>
  <c r="F5" i="22"/>
  <c r="F4" i="22"/>
  <c r="C8" i="22"/>
  <c r="D8" i="22"/>
  <c r="E8" i="22"/>
  <c r="B8" i="22"/>
  <c r="F5" i="20"/>
  <c r="F6" i="20"/>
  <c r="F7" i="20"/>
  <c r="F8" i="20"/>
  <c r="F9" i="20"/>
  <c r="F10" i="20"/>
  <c r="F11" i="20"/>
  <c r="F4" i="20"/>
  <c r="C12" i="20"/>
  <c r="D12" i="20"/>
  <c r="E12" i="20"/>
  <c r="B12" i="20"/>
  <c r="F6" i="16"/>
  <c r="F7" i="16"/>
  <c r="F8" i="16"/>
  <c r="F9" i="16"/>
  <c r="F10" i="16"/>
  <c r="F11" i="16"/>
  <c r="F5" i="16"/>
  <c r="F4" i="16"/>
  <c r="I6" i="16"/>
  <c r="I7" i="16"/>
  <c r="I8" i="16"/>
  <c r="I9" i="16"/>
  <c r="I10" i="16"/>
  <c r="I11" i="16"/>
  <c r="I5" i="16"/>
  <c r="H12" i="16"/>
  <c r="G12" i="16"/>
  <c r="C12" i="16"/>
  <c r="D12" i="16"/>
  <c r="E12" i="16"/>
  <c r="B12" i="16"/>
  <c r="B12" i="12"/>
  <c r="E12" i="12"/>
  <c r="D12" i="12"/>
  <c r="H37" i="5"/>
  <c r="F37" i="5"/>
  <c r="D37" i="5"/>
  <c r="F8" i="22" l="1"/>
  <c r="M76" i="54"/>
  <c r="B5" i="34"/>
  <c r="B6" i="34" s="1"/>
  <c r="M19" i="54"/>
  <c r="F12" i="12"/>
  <c r="I12" i="16"/>
  <c r="B5" i="38"/>
  <c r="F12" i="20"/>
  <c r="F12" i="16"/>
  <c r="E11" i="26" l="1"/>
  <c r="E10" i="26"/>
  <c r="E9" i="26"/>
  <c r="E8" i="26"/>
  <c r="E7" i="26"/>
  <c r="E6" i="26"/>
  <c r="E5" i="26"/>
  <c r="E4" i="26"/>
  <c r="M9" i="4" l="1"/>
  <c r="B9" i="4"/>
  <c r="C37" i="5"/>
  <c r="L12" i="10"/>
  <c r="C8" i="37"/>
  <c r="I9" i="4"/>
  <c r="I14" i="55"/>
  <c r="J14" i="55"/>
  <c r="G41" i="55"/>
  <c r="I31" i="55"/>
  <c r="H31" i="55"/>
  <c r="G31" i="55"/>
  <c r="F31" i="55"/>
  <c r="E31" i="55"/>
  <c r="E97" i="54"/>
  <c r="I19" i="55"/>
  <c r="H19" i="55"/>
  <c r="G19" i="55"/>
  <c r="E19" i="55"/>
  <c r="I18" i="55"/>
  <c r="H18" i="55"/>
  <c r="G18" i="55"/>
  <c r="F18" i="55"/>
  <c r="E18" i="55"/>
  <c r="I17" i="55"/>
  <c r="H17" i="55"/>
  <c r="G17" i="55"/>
  <c r="F17" i="55"/>
  <c r="E17" i="55"/>
  <c r="I7" i="55"/>
  <c r="H7" i="55"/>
  <c r="G7" i="55"/>
  <c r="F7" i="55"/>
  <c r="E7" i="55"/>
  <c r="G97" i="54"/>
  <c r="F97" i="54"/>
  <c r="D97" i="54"/>
  <c r="C97" i="54"/>
  <c r="G81" i="54"/>
  <c r="G51" i="54"/>
  <c r="H50" i="54"/>
  <c r="G50" i="54"/>
  <c r="H42" i="54"/>
  <c r="H41" i="54"/>
  <c r="H40" i="54"/>
  <c r="H39" i="54"/>
  <c r="H38" i="54"/>
  <c r="H37" i="54"/>
  <c r="H36" i="54"/>
  <c r="H35" i="54"/>
  <c r="H34" i="54"/>
  <c r="P33" i="54"/>
  <c r="H33" i="54"/>
  <c r="H32" i="54"/>
  <c r="H31" i="54"/>
  <c r="G18" i="54"/>
  <c r="G16" i="54"/>
  <c r="F16" i="54"/>
  <c r="E16" i="54"/>
  <c r="D16" i="54"/>
  <c r="C16" i="54"/>
  <c r="T11" i="54"/>
  <c r="I9" i="54"/>
  <c r="H9" i="54"/>
  <c r="G9" i="54"/>
  <c r="F9" i="54"/>
  <c r="E9" i="54"/>
  <c r="D9" i="54"/>
  <c r="C9" i="54"/>
  <c r="A11" i="64"/>
  <c r="A21" i="64" s="1"/>
  <c r="A10" i="64"/>
  <c r="A20" i="64" s="1"/>
  <c r="A9" i="64"/>
  <c r="A19" i="64" s="1"/>
  <c r="A8" i="64"/>
  <c r="A18" i="64" s="1"/>
  <c r="A7" i="64"/>
  <c r="A17" i="64" s="1"/>
  <c r="A6" i="64"/>
  <c r="A16" i="64" s="1"/>
  <c r="A5" i="64"/>
  <c r="A15" i="64" s="1"/>
  <c r="B24" i="26"/>
  <c r="C24" i="25"/>
  <c r="H9" i="4"/>
  <c r="G9" i="4"/>
  <c r="F9" i="4"/>
  <c r="F10" i="4" s="1"/>
  <c r="Q38" i="4" s="1"/>
  <c r="E9" i="4"/>
  <c r="E10" i="4" s="1"/>
  <c r="P38" i="4" s="1"/>
  <c r="D9" i="4"/>
  <c r="D10" i="4" s="1"/>
  <c r="O38" i="4" s="1"/>
  <c r="C9" i="4"/>
  <c r="C10" i="4" s="1"/>
  <c r="N38" i="4" s="1"/>
  <c r="K9" i="4"/>
  <c r="F5" i="30"/>
  <c r="L9" i="4"/>
  <c r="D5" i="30"/>
  <c r="E5" i="30"/>
  <c r="B5" i="30"/>
  <c r="L86" i="55" s="1"/>
  <c r="C5" i="30"/>
  <c r="J9" i="4"/>
  <c r="D12" i="10"/>
  <c r="M12" i="10"/>
  <c r="O12" i="10"/>
  <c r="P11" i="10"/>
  <c r="P7" i="10"/>
  <c r="E12" i="10"/>
  <c r="H12" i="10"/>
  <c r="P9" i="10"/>
  <c r="C5" i="37"/>
  <c r="P5" i="10"/>
  <c r="K12" i="10"/>
  <c r="I12" i="10"/>
  <c r="G12" i="10"/>
  <c r="N12" i="10"/>
  <c r="J12" i="10"/>
  <c r="F12" i="10"/>
  <c r="B12" i="10"/>
  <c r="P10" i="10"/>
  <c r="P6" i="10"/>
  <c r="P8" i="10"/>
  <c r="P4" i="10"/>
  <c r="C12" i="10"/>
  <c r="C9" i="37"/>
  <c r="C7" i="37"/>
  <c r="C6" i="37"/>
  <c r="G10" i="4" l="1"/>
  <c r="R38" i="4" s="1"/>
  <c r="H10" i="4"/>
  <c r="S38" i="4" s="1"/>
  <c r="I10" i="4"/>
  <c r="T38" i="4" s="1"/>
  <c r="J13" i="4"/>
  <c r="J10" i="4"/>
  <c r="U38" i="4" s="1"/>
  <c r="L13" i="4"/>
  <c r="L10" i="4"/>
  <c r="W38" i="4" s="1"/>
  <c r="K13" i="4"/>
  <c r="K10" i="4"/>
  <c r="V38" i="4" s="1"/>
  <c r="E37" i="5"/>
  <c r="G37" i="5"/>
  <c r="I37" i="5"/>
  <c r="M13" i="4"/>
  <c r="M10" i="4"/>
  <c r="X38" i="4" s="1"/>
  <c r="D6" i="30"/>
  <c r="L85" i="55" s="1"/>
  <c r="E12" i="26"/>
  <c r="F7" i="26" s="1"/>
  <c r="P12" i="10"/>
  <c r="F11" i="26" l="1"/>
  <c r="F8" i="26"/>
  <c r="F5" i="26"/>
  <c r="F4" i="26"/>
  <c r="F6" i="26"/>
  <c r="F9" i="26"/>
  <c r="F10" i="26"/>
  <c r="F12" i="26"/>
  <c r="P13" i="10"/>
  <c r="M20" i="54"/>
  <c r="H13" i="10"/>
  <c r="B13" i="10"/>
  <c r="L13" i="10"/>
  <c r="D13" i="10"/>
  <c r="G13" i="10"/>
  <c r="F13" i="10"/>
  <c r="E13" i="10"/>
  <c r="O13" i="10"/>
  <c r="K13" i="10"/>
  <c r="J13" i="10"/>
  <c r="I13" i="10"/>
  <c r="C13" i="10"/>
  <c r="M13" i="10"/>
  <c r="N13" i="10"/>
  <c r="N14" i="4" l="1"/>
  <c r="O31" i="55" s="1"/>
  <c r="M16" i="54"/>
  <c r="N9" i="4" l="1"/>
  <c r="N10" i="4" l="1"/>
  <c r="Y38" i="4" s="1"/>
  <c r="M14" i="54"/>
  <c r="N13" i="4"/>
  <c r="O7" i="4"/>
  <c r="O6" i="4"/>
  <c r="O5" i="4"/>
  <c r="O4" i="4"/>
  <c r="O8" i="4"/>
  <c r="Q5" i="4" l="1"/>
  <c r="Q6" i="4"/>
  <c r="O24"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400-000001000000}">
      <text>
        <r>
          <rPr>
            <b/>
            <sz val="9"/>
            <color indexed="81"/>
            <rFont val="Tahoma"/>
            <family val="2"/>
          </rPr>
          <t>RNP capitulo 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E00-000001000000}">
      <text>
        <r>
          <rPr>
            <b/>
            <sz val="9"/>
            <color indexed="81"/>
            <rFont val="Tahoma"/>
            <family val="2"/>
          </rPr>
          <t>Autor:</t>
        </r>
        <r>
          <rPr>
            <sz val="9"/>
            <color indexed="81"/>
            <rFont val="Tahoma"/>
            <family val="2"/>
          </rPr>
          <t xml:space="preserve">
Consideramos contenedores Borja 0,91 y resto 2,85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M32" authorId="0" shapeId="0" xr:uid="{00000000-0006-0000-3600-000001000000}">
      <text>
        <r>
          <rPr>
            <b/>
            <sz val="9"/>
            <color indexed="81"/>
            <rFont val="Tahoma"/>
            <family val="2"/>
          </rPr>
          <t>raees producidos aragon 2022: 9.530,02 t &lt; 14.838 t (sist RAP)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54" authorId="0" shapeId="0" xr:uid="{00000000-0006-0000-3700-000001000000}">
      <text>
        <r>
          <rPr>
            <b/>
            <sz val="9"/>
            <color indexed="81"/>
            <rFont val="Tahoma"/>
            <family val="2"/>
          </rPr>
          <t>Autor:</t>
        </r>
        <r>
          <rPr>
            <sz val="9"/>
            <color indexed="81"/>
            <rFont val="Tahoma"/>
            <family val="2"/>
          </rPr>
          <t xml:space="preserve">
Eliminado con respecto a 2018 el anterior I.RAEE.2, era el mismo indicdor pero contando otros canales</t>
        </r>
      </text>
    </comment>
  </commentList>
</comments>
</file>

<file path=xl/sharedStrings.xml><?xml version="1.0" encoding="utf-8"?>
<sst xmlns="http://schemas.openxmlformats.org/spreadsheetml/2006/main" count="2119" uniqueCount="1231">
  <si>
    <t>DESCRIPCIÓN</t>
  </si>
  <si>
    <t>Cantidad total de residuos generados/año en Aragón (t)</t>
  </si>
  <si>
    <t>% de reducción de la generación anual de residuos respecto los generados en 2010</t>
  </si>
  <si>
    <t>Ha crecido un 23,8%</t>
  </si>
  <si>
    <t>Ha crecido un 11,3%</t>
  </si>
  <si>
    <t>Ha crecido un 17,7%</t>
  </si>
  <si>
    <t>Ha crecido un 24,4%</t>
  </si>
  <si>
    <t>Ha crecido un 6,3%</t>
  </si>
  <si>
    <t>Ha crecido un 26,7%</t>
  </si>
  <si>
    <t>Ha crecido un 9%</t>
  </si>
  <si>
    <t>Ha reducido un 20%</t>
  </si>
  <si>
    <t>Ha reducido un 15%</t>
  </si>
  <si>
    <t>Ha reducido un 11%</t>
  </si>
  <si>
    <t>Cantidad total de residuos generados/año en Aragón "sin cenizas" (t)</t>
  </si>
  <si>
    <t>% de reducción de la generación anual de residuos respecto a los generados en 2010, sin cenizas de procesos térmicos</t>
  </si>
  <si>
    <t>Ha reducido un 8%</t>
  </si>
  <si>
    <t>Ha reducido un 10 %</t>
  </si>
  <si>
    <t>Ha reducido un 14 %</t>
  </si>
  <si>
    <t>Ha reducido un 8 %</t>
  </si>
  <si>
    <t>Ha reducido un 11 %</t>
  </si>
  <si>
    <t>Ha reducido un 6 %</t>
  </si>
  <si>
    <t>Ha reducido un 7%</t>
  </si>
  <si>
    <t>Ha reducido un 5%</t>
  </si>
  <si>
    <t>Ha crecido un 5%</t>
  </si>
  <si>
    <t>Ha crecido un 7%</t>
  </si>
  <si>
    <t>Cantidad total de residuos generados en el año 2010 en Aragón "sin cenizas" (t)</t>
  </si>
  <si>
    <t>Fuente: Datos Dirección General de Calidad Ambiental, a partir de lo declarado en gestión controlada</t>
  </si>
  <si>
    <t>Cantidad total de residuos generados.</t>
  </si>
  <si>
    <t>Cantidad de residuos generados descontando cenizas.</t>
  </si>
  <si>
    <t>% que suponen las cenizas de procesos térmicos sobre el total de los residuos generados en Aragón</t>
  </si>
  <si>
    <t>AÑO</t>
  </si>
  <si>
    <t>Cantidad total de residuos generados/año en forma de cenizas (t)</t>
  </si>
  <si>
    <t>Ha reducido un 4%</t>
  </si>
  <si>
    <t>Ha reducido un 5,36%</t>
  </si>
  <si>
    <t>Ha crecido un 4,56%</t>
  </si>
  <si>
    <t>Ha crecido un 7,46%</t>
  </si>
  <si>
    <t>Cantidad total de residuos generados en el año 2010 en Aragón (t) descontando el 10%</t>
  </si>
  <si>
    <t>Cantidad total de residuos generados en el año 2010 en Aragón (t) descontando el 13%</t>
  </si>
  <si>
    <t>Fuente: Datos Dirección General Calidad Ambiental, a partir de lo declarado en gestión controlada</t>
  </si>
  <si>
    <t>Kr/Kp ECOEMBES, %</t>
  </si>
  <si>
    <t>Kr/Kp ECOVIDRIO, %</t>
  </si>
  <si>
    <t>Kr/Kp SIGRE, %</t>
  </si>
  <si>
    <t>n.d.</t>
  </si>
  <si>
    <t>Nº empresas con sede social en Aragón que participan en los PEP presentados por los SIG ECOEMBES, ECOVIDRIO y SIGRE</t>
  </si>
  <si>
    <t>Organizaciones registradas</t>
  </si>
  <si>
    <t>Número de registro</t>
  </si>
  <si>
    <t>Localidad</t>
  </si>
  <si>
    <t xml:space="preserve">E-AR-0000004 </t>
  </si>
  <si>
    <t>Cariñena</t>
  </si>
  <si>
    <t>Stellantis España</t>
  </si>
  <si>
    <t xml:space="preserve">E-AR-0000005 </t>
  </si>
  <si>
    <t>Figueruelas</t>
  </si>
  <si>
    <t xml:space="preserve">Ercros S.Aa, Planta De Monzón - Zona 2 </t>
  </si>
  <si>
    <t xml:space="preserve">E-AR-0000012 </t>
  </si>
  <si>
    <t>Monzón</t>
  </si>
  <si>
    <t>E-AR-0000018</t>
  </si>
  <si>
    <t>Zaragoza</t>
  </si>
  <si>
    <t>Fundación San Valero</t>
  </si>
  <si>
    <t xml:space="preserve">E-AR-0000019 </t>
  </si>
  <si>
    <t xml:space="preserve">DKV Seguros Y Reaseguros (María Zambrano) </t>
  </si>
  <si>
    <t xml:space="preserve">E-AR-0000020 </t>
  </si>
  <si>
    <t xml:space="preserve">Aragersa Vertedero </t>
  </si>
  <si>
    <t>E-AR-0000021</t>
  </si>
  <si>
    <t>Ecoactiva de Medio Ambiente</t>
  </si>
  <si>
    <t>E-AR-0000022</t>
  </si>
  <si>
    <t xml:space="preserve">Ferroatlántica Del Cinca S.L. (Centro Monzón) </t>
  </si>
  <si>
    <t xml:space="preserve">E-AR-0000023 </t>
  </si>
  <si>
    <t xml:space="preserve">Schindler, S.A (Empresarium) </t>
  </si>
  <si>
    <t>E-AR-0000024</t>
  </si>
  <si>
    <t>Cartuja Baja (Zaragoza)</t>
  </si>
  <si>
    <t xml:space="preserve">Fundación Universidad San Jorge - Campus Universitario </t>
  </si>
  <si>
    <t xml:space="preserve">E-AR-0000025 </t>
  </si>
  <si>
    <t>Villanueva De Gállego</t>
  </si>
  <si>
    <t>Edar Figueruelas</t>
  </si>
  <si>
    <t>E-AR-0000027</t>
  </si>
  <si>
    <t>Sumelzo S.A.</t>
  </si>
  <si>
    <t>E-AR-0000028</t>
  </si>
  <si>
    <t>Ejea de los Caballeros</t>
  </si>
  <si>
    <t>Almacenamiento Subterráneo Serrablo</t>
  </si>
  <si>
    <t>E-AR-0000029</t>
  </si>
  <si>
    <t>Larrés (Huesca)</t>
  </si>
  <si>
    <t>Fuente: Dirección General de Calidad Ambiental a partir de datos del Instituto Aragonés de Gestión Ambiental (INAGA)</t>
  </si>
  <si>
    <t>Fracción resto (LER 200301)</t>
  </si>
  <si>
    <t>Recogida selectiva</t>
  </si>
  <si>
    <t>Residuos mezclados</t>
  </si>
  <si>
    <t>Residuos de limpieza municipal</t>
  </si>
  <si>
    <t>Residuos recogidos separadamente</t>
  </si>
  <si>
    <t>Residuos recogidos en puntos limpios</t>
  </si>
  <si>
    <t>Otras recogidas diferenciadas</t>
  </si>
  <si>
    <t>Total</t>
  </si>
  <si>
    <t>Habitantes</t>
  </si>
  <si>
    <t>Fuente: Dirección General de Calidad Ambiental</t>
  </si>
  <si>
    <t>Agrupación</t>
  </si>
  <si>
    <t>Comarca</t>
  </si>
  <si>
    <t>Número de habitantes</t>
  </si>
  <si>
    <t>1-HUESCA</t>
  </si>
  <si>
    <t>La Jacetania</t>
  </si>
  <si>
    <t>Alto Gállego</t>
  </si>
  <si>
    <t>Hoya de Huesca</t>
  </si>
  <si>
    <t>2-BARBASTRO</t>
  </si>
  <si>
    <t>Sobrarbe</t>
  </si>
  <si>
    <t>Ribagorza</t>
  </si>
  <si>
    <t>Somontano de Barbastro</t>
  </si>
  <si>
    <t>Cinca Medio</t>
  </si>
  <si>
    <t>La Litera</t>
  </si>
  <si>
    <t>3-FRAGA</t>
  </si>
  <si>
    <t>Bajo Cinca</t>
  </si>
  <si>
    <t>Monegros</t>
  </si>
  <si>
    <t>4-EJEA</t>
  </si>
  <si>
    <t>Cinco Villas</t>
  </si>
  <si>
    <t>Tarazona y el Moncayo</t>
  </si>
  <si>
    <t>Campo de Borja</t>
  </si>
  <si>
    <t>Ribera Alta del Ebro</t>
  </si>
  <si>
    <t>5-CALATAYUD</t>
  </si>
  <si>
    <t>Aranda</t>
  </si>
  <si>
    <t>Valdejalón</t>
  </si>
  <si>
    <t>Comunidad de Calatayud</t>
  </si>
  <si>
    <t>Campo de Cariñena</t>
  </si>
  <si>
    <t>Campo de Daroca</t>
  </si>
  <si>
    <t>6-ZARAGOZA</t>
  </si>
  <si>
    <t>Central</t>
  </si>
  <si>
    <t>Ribera Baja del Ebro</t>
  </si>
  <si>
    <t>Campo de Belchite</t>
  </si>
  <si>
    <t>7-ALCAÑIZ</t>
  </si>
  <si>
    <t>Bajo Aragón-Caspe</t>
  </si>
  <si>
    <t>Bajo Martín</t>
  </si>
  <si>
    <t>Andorra-Sierra de Arcos</t>
  </si>
  <si>
    <t>Bajo Aragón</t>
  </si>
  <si>
    <t>Matarraña</t>
  </si>
  <si>
    <t>8-TERUEL</t>
  </si>
  <si>
    <t>Jiloca</t>
  </si>
  <si>
    <t>Cuencas Mineras</t>
  </si>
  <si>
    <t>Comunidad de Teruel</t>
  </si>
  <si>
    <t>Maestrazgo</t>
  </si>
  <si>
    <t>Sierra de Albarracín</t>
  </si>
  <si>
    <t>Gúdar-Javalambre</t>
  </si>
  <si>
    <t>TOTAL</t>
  </si>
  <si>
    <t>%RDyC destinados a preparación para reutilización y reciclado</t>
  </si>
  <si>
    <t>Objetivo para 2020</t>
  </si>
  <si>
    <t>Objetivo para 2025</t>
  </si>
  <si>
    <t>Objetivo para 2030</t>
  </si>
  <si>
    <t>Objetivo para 2035</t>
  </si>
  <si>
    <t>AGRUPACIÓN</t>
  </si>
  <si>
    <t>Reutilización y reciclado (t)</t>
  </si>
  <si>
    <t>% Reutilización y reciclado</t>
  </si>
  <si>
    <t>Eliminado (t)</t>
  </si>
  <si>
    <t>% Eliminado</t>
  </si>
  <si>
    <t>1- Huesca</t>
  </si>
  <si>
    <t>2- Barbastro</t>
  </si>
  <si>
    <t>3- Fraga</t>
  </si>
  <si>
    <t>4- Ejea</t>
  </si>
  <si>
    <t>5- Calatayud</t>
  </si>
  <si>
    <t>6- Zaragoza</t>
  </si>
  <si>
    <t>7- Alcañiz</t>
  </si>
  <si>
    <t>8- Teruel</t>
  </si>
  <si>
    <t xml:space="preserve">Tipo de residuo </t>
  </si>
  <si>
    <t>Papel/ carton 20.01.01
15.01.01</t>
  </si>
  <si>
    <t>Envases mezclados 15.01.06  15.01.05</t>
  </si>
  <si>
    <t>Metales 20.01.40  15.01.04</t>
  </si>
  <si>
    <t>Plásticos 20.01.39  15.01.02</t>
  </si>
  <si>
    <t>Vidrio 20.01.02   15.01.07</t>
  </si>
  <si>
    <t>Madera 20.01.37* 20.01.38  15.01.03</t>
  </si>
  <si>
    <t>Tejidos/Ropa/Envases textiles
20.01.10
20.01.11
15.01.09</t>
  </si>
  <si>
    <t xml:space="preserve">Aceites y grasas 20.01.25 20.01.26* </t>
  </si>
  <si>
    <t>RAEES 
20.01.21* 20.01.23* 20.01.35* 20.01.36   16.02.14</t>
  </si>
  <si>
    <t>PAB
20.01.34
20.01.33*   16.06.03*    16.06.04     16.06.01</t>
  </si>
  <si>
    <t xml:space="preserve">Volumi nosos
20.03.07  </t>
  </si>
  <si>
    <t>Otros cód. LER</t>
  </si>
  <si>
    <t xml:space="preserve">Escombros obras menores Capitulo 17 LER </t>
  </si>
  <si>
    <t>Agr. 1</t>
  </si>
  <si>
    <t>Agr. 2</t>
  </si>
  <si>
    <t>Agr. 3</t>
  </si>
  <si>
    <t>Agr. 4</t>
  </si>
  <si>
    <t>Agr. 5</t>
  </si>
  <si>
    <t>Agr. 6</t>
  </si>
  <si>
    <t>Agr. 7</t>
  </si>
  <si>
    <t>Agr. 8</t>
  </si>
  <si>
    <t>Residuo</t>
  </si>
  <si>
    <t>Sistema Integrado de Gestión (SIG) de Envases</t>
  </si>
  <si>
    <t>Vidrio</t>
  </si>
  <si>
    <t>Sociedad Ecológica para el reciclado de los envases de vidrio (ECOVIDRIO)</t>
  </si>
  <si>
    <t>Papel-cartón</t>
  </si>
  <si>
    <t>Ecoembalajes España S.A.</t>
  </si>
  <si>
    <t>Envases ligeros</t>
  </si>
  <si>
    <t>Envases de Medicamentos</t>
  </si>
  <si>
    <t>Medicamento y Medio ambiente S.L. (SIGRE)</t>
  </si>
  <si>
    <t>Toneladas vidrio recogidas / año</t>
  </si>
  <si>
    <t>Número de contenedores</t>
  </si>
  <si>
    <t>Número de municipios atendidos</t>
  </si>
  <si>
    <r>
      <t>Número de habitantes atendidos</t>
    </r>
    <r>
      <rPr>
        <vertAlign val="superscript"/>
        <sz val="10"/>
        <rFont val="Arial"/>
        <family val="2"/>
      </rPr>
      <t xml:space="preserve"> (*)</t>
    </r>
  </si>
  <si>
    <t>% habitantes atendidos sobre el total de la población aragonesa</t>
  </si>
  <si>
    <t>Kg / habitante atendido y año</t>
  </si>
  <si>
    <t>Ratio contenedores (habitante / contenedor)</t>
  </si>
  <si>
    <r>
      <t>Capacidad total de contenedores instalados (m</t>
    </r>
    <r>
      <rPr>
        <vertAlign val="superscript"/>
        <sz val="10"/>
        <rFont val="Arial"/>
        <family val="2"/>
      </rPr>
      <t>3</t>
    </r>
    <r>
      <rPr>
        <sz val="10"/>
        <rFont val="Arial"/>
        <family val="2"/>
      </rPr>
      <t>)</t>
    </r>
  </si>
  <si>
    <t>(*) Habitante atendido: aquel habitante que pertenece a un municipio que dispone de contenedores en vía pública en el mes de diciembre del año que corresponda independientemente de la firma o no del convenio de adhesión.</t>
  </si>
  <si>
    <t>Municipios atendidos</t>
  </si>
  <si>
    <t xml:space="preserve">Toneladas recogidas </t>
  </si>
  <si>
    <t>Habitantes atendidos (*)</t>
  </si>
  <si>
    <t>Ratio (kg/habitante atendido año)</t>
  </si>
  <si>
    <t>Fuente: ECOVIDRIO y Comarca del Campo de Borja. Elaborado por la Dirección General de Calidad Ambiental</t>
  </si>
  <si>
    <t>Recogida de vidrio por habitante atendido (kg/hab año)</t>
  </si>
  <si>
    <t>Número de habitantes atendidos</t>
  </si>
  <si>
    <t>Recogida de vidrio (t)</t>
  </si>
  <si>
    <t>Toneladas papel-cartón recogidas / año</t>
  </si>
  <si>
    <t>Kg contenedor azul / habitantes atendidos y año</t>
  </si>
  <si>
    <t>Ratio contenedores (habitante atendido / contenedor)</t>
  </si>
  <si>
    <t>Fuente: Ecoembalajes España, S.A. Elaborado por la Dirección General de Calidad Ambiental</t>
  </si>
  <si>
    <t>Número de contenedores azules</t>
  </si>
  <si>
    <t>Municipios atendidos con contenedor azul</t>
  </si>
  <si>
    <t xml:space="preserve">Toneladas recogidas en contenedor azul </t>
  </si>
  <si>
    <t>Habitantes atendidos</t>
  </si>
  <si>
    <t>Ratio (kg recogidos en contenedor azul / habitante atendido año)</t>
  </si>
  <si>
    <t>Toneladas recogidas en puerta a puerta comercial</t>
  </si>
  <si>
    <t>Toneladas  recogidas en punto limpio</t>
  </si>
  <si>
    <t>Toneladas totales recogidas</t>
  </si>
  <si>
    <t>Recogida selectiva papel-cartón en contenedor (t)</t>
  </si>
  <si>
    <t>Recogida de papel-cartón por habitante atendido (kg/hab año)</t>
  </si>
  <si>
    <t xml:space="preserve">Número de habitantes atendidos </t>
  </si>
  <si>
    <t>Fuente: Dirección General de Sostenibilidad</t>
  </si>
  <si>
    <t>Fuente: Ecoembalajes España, S.A. Elaborado por la Dirección General de Cambio Climático y Educación Ambiental</t>
  </si>
  <si>
    <t>Toneladas envases ligeros recogidas</t>
  </si>
  <si>
    <t>% habitantes atendidos</t>
  </si>
  <si>
    <t>Contenedores</t>
  </si>
  <si>
    <t>Ratio (kg / hab atendido y año)</t>
  </si>
  <si>
    <t>Recogida selectiva de envases ligeros (t)</t>
  </si>
  <si>
    <t>Recogida de envases ligeros por habitante atendido (kg/habitante atendido*año)</t>
  </si>
  <si>
    <t>Número de habitantes atendidos (hab)</t>
  </si>
  <si>
    <t>Plásticos (toneladas)</t>
  </si>
  <si>
    <t>Metal (toneladas)</t>
  </si>
  <si>
    <t>Papel/Cartón (toneladas)</t>
  </si>
  <si>
    <t>Madera (toneladas)</t>
  </si>
  <si>
    <t>Contenedor amarillo</t>
  </si>
  <si>
    <t>Contenedor azul</t>
  </si>
  <si>
    <t>Puerta a puerta cartón comercial</t>
  </si>
  <si>
    <t>Recuperación en centros de tratamiento, procedentes de la fracción resto</t>
  </si>
  <si>
    <t>Total materiales recuperados Aragón</t>
  </si>
  <si>
    <t>Provincia</t>
  </si>
  <si>
    <t>Número de puntos SIGRE</t>
  </si>
  <si>
    <t>Número municipios con puntos SIGRE</t>
  </si>
  <si>
    <t>Huesca</t>
  </si>
  <si>
    <t>Teruel</t>
  </si>
  <si>
    <t>Fuente: SIGRE</t>
  </si>
  <si>
    <t>Recogida selectiva anual de envases farmacéuticos (t)</t>
  </si>
  <si>
    <t>kg / hab. año</t>
  </si>
  <si>
    <t>Código LER</t>
  </si>
  <si>
    <t>Cantidad de residuos no peligrosos (toneladas)</t>
  </si>
  <si>
    <t>01</t>
  </si>
  <si>
    <t>Residuos de la prospección, extracción de minas y canteras y tratamientos físicos y químicos de minerales</t>
  </si>
  <si>
    <t>02</t>
  </si>
  <si>
    <t>Residuos de la agricultura, horticultura, acuicultura, silvicultura, caza y pesca; residuos de la preparación y elaboración de alimentos</t>
  </si>
  <si>
    <t>03</t>
  </si>
  <si>
    <t>Residuos de la transformación de la madera y de la producción de tableros y muebles, pasta de papel, papel y cartón</t>
  </si>
  <si>
    <t>04</t>
  </si>
  <si>
    <t>Residuos de las industrias del cuero, de la piel y textil</t>
  </si>
  <si>
    <t>05</t>
  </si>
  <si>
    <t>Residuos del refino de petróleo, purificación del gas natural y tratamiento pirolítico del carbón</t>
  </si>
  <si>
    <t>06</t>
  </si>
  <si>
    <t>Residuos de procesos químicos inorgánicos</t>
  </si>
  <si>
    <t>07</t>
  </si>
  <si>
    <t>Residuos de procesos químicos orgánicos</t>
  </si>
  <si>
    <t>08</t>
  </si>
  <si>
    <t>Residuos de la fabricación, formulación, distribución y utilización (FFDU) de revestimientos (pinturas, barnices y esmaltes vítreos), adhesivos, sellantes y tintas de impresión</t>
  </si>
  <si>
    <t>09</t>
  </si>
  <si>
    <t>Residuos de la industria fotográfica</t>
  </si>
  <si>
    <t>Residuos de procesos térmicos</t>
  </si>
  <si>
    <t>Residuos del tratamiento químico de superficie y del recubrimiento de metales y otros materiales; residuos de la hidrometalurgia no férrea</t>
  </si>
  <si>
    <t>Residuos del moldeado y del tratamiento físico y mecánico de superficie de metales y plásticos</t>
  </si>
  <si>
    <t>Residuos de aceites y de combustibles líquidos (excepto los aceites comestibles y los de los capítulos 05, 12 y 19)</t>
  </si>
  <si>
    <t>Residuos de disolventes, refrigerantes y propelentes orgánicos (excepto los de los capítulos 07 y 08)</t>
  </si>
  <si>
    <t>Residuos de envases; absorbentes, trapos de limpieza; materiales de filtración y ropas de protección no especificados en otra categoría</t>
  </si>
  <si>
    <t>Residuos no especificados en otro capítulo de la lista</t>
  </si>
  <si>
    <t>Residuos de la construcción y demolición (incluida la tierra excavada de zonas contaminadas)</t>
  </si>
  <si>
    <t>Residuos de servicios médicos o veterinarios o de investigación asociada (salvo los residuos de cocina y de restaurante no procedentes directamente de la prestación de cuidados sanitarios)</t>
  </si>
  <si>
    <t>Residuos de las instalaciones para el tratamiento de residuos, de las plantas externas de tratamiento de aguas residuales y de la preparación de agua para consumo humano y de agua para uso industrial</t>
  </si>
  <si>
    <t>Residuos municipales (residuos domésticos y residuos asimilables procedentes de los comercios, industrias e instituciones), incluidas las fracciones recogidas selectivamente</t>
  </si>
  <si>
    <t>LER</t>
  </si>
  <si>
    <t>Toneladas</t>
  </si>
  <si>
    <t>LER mayoritarios</t>
  </si>
  <si>
    <t>Resto</t>
  </si>
  <si>
    <t>Productores de Residuos No Peligrosos registrados</t>
  </si>
  <si>
    <t>Gestores de Residuos No Peligrosos de valorización y eliminación  GNPA (con  instalación)</t>
  </si>
  <si>
    <t>Gestores de Residuos No Peligrosos distintos de valorización y eliminación GNPR   *</t>
  </si>
  <si>
    <t>Agente de Residuos No Peligrosos</t>
  </si>
  <si>
    <t>Negociante de Residuos No Peligrosos</t>
  </si>
  <si>
    <t>Recogedor de Residuos No Peligrosos</t>
  </si>
  <si>
    <t>Transportista de Residuos No Peligrosos</t>
  </si>
  <si>
    <t>* Los GNPR son  un  registro a extinguir en base a la  Ley 22/2011 de  Residuos</t>
  </si>
  <si>
    <t>Procedencia</t>
  </si>
  <si>
    <t>Residuos no peligrosos (toneladas)</t>
  </si>
  <si>
    <t>Residuos producidos y gestionados en Aragón</t>
  </si>
  <si>
    <t>Origen productor</t>
  </si>
  <si>
    <t>Residuos producidos fuera y gestionados en Aragón</t>
  </si>
  <si>
    <t>Origen productores y gestores</t>
  </si>
  <si>
    <t>Residuos enviados a tratamiento fuera de Aragón</t>
  </si>
  <si>
    <t>Origen productores</t>
  </si>
  <si>
    <t>Origen gestores</t>
  </si>
  <si>
    <t>TOTAL RESIDUOS NO PELIGROSOS PRODUCIDOS EN ARAGÓN</t>
  </si>
  <si>
    <t>TOTAL RESIDUOS NO PELIGROSOS GESTIONADOS EN ARAGÓN</t>
  </si>
  <si>
    <t>Fuente:  Dirección General de Calidad Ambiental</t>
  </si>
  <si>
    <t>Producción lodos en base húmeda (t)</t>
  </si>
  <si>
    <t>Producción lodos en base seca (t)</t>
  </si>
  <si>
    <t>% materia seca</t>
  </si>
  <si>
    <t>Caudal tratado (m3/día)</t>
  </si>
  <si>
    <t>Fuente: Dirección General Calidad Ambiental</t>
  </si>
  <si>
    <t>Vertedero</t>
  </si>
  <si>
    <t>Incineración</t>
  </si>
  <si>
    <t>Aplicación agrícola</t>
  </si>
  <si>
    <t>Biometanización y posterior aplicación agrícola</t>
  </si>
  <si>
    <t>Cantidad (t) materia seca de lodos EDAR</t>
  </si>
  <si>
    <t xml:space="preserve">% </t>
  </si>
  <si>
    <t>Objetivos del Plan GIRA 2018-2022</t>
  </si>
  <si>
    <t>&lt; 7%</t>
  </si>
  <si>
    <t xml:space="preserve"> -</t>
  </si>
  <si>
    <t>&gt; 40%</t>
  </si>
  <si>
    <t>RINZA</t>
  </si>
  <si>
    <t>RINTE</t>
  </si>
  <si>
    <t xml:space="preserve">Código </t>
  </si>
  <si>
    <t>%</t>
  </si>
  <si>
    <t>LER 191212</t>
  </si>
  <si>
    <t>Otros residuos (incluidas mezclas de materiales) procedentes del tratamiento mecánico de residuos, distintos de los especificados en el código 191211</t>
  </si>
  <si>
    <t>LER 191004</t>
  </si>
  <si>
    <t>Fracciones ligeras de fragmentación y polvo sin sustancias peligrosas</t>
  </si>
  <si>
    <t>LER 030307</t>
  </si>
  <si>
    <t>Desechos, separados mecánicamente, de pasta elaborada a partir de residuos de papel y cartón</t>
  </si>
  <si>
    <t>LER 190114</t>
  </si>
  <si>
    <t>Cenizas volantes distintas de las especificadas en el código 190113</t>
  </si>
  <si>
    <t>LER 190501</t>
  </si>
  <si>
    <t>Fracción no compostada de residuos municipales y asimilados</t>
  </si>
  <si>
    <t>LER 190503</t>
  </si>
  <si>
    <t>Compost fuera de especificación.</t>
  </si>
  <si>
    <t>LER 191204</t>
  </si>
  <si>
    <t>Plástico y caucho</t>
  </si>
  <si>
    <t>LER 100316</t>
  </si>
  <si>
    <t>Espumas distintas de las especificadas en el código 10 03 15</t>
  </si>
  <si>
    <t>LER 100125</t>
  </si>
  <si>
    <t>Residuos procedentes del almacenamiento y preparación de combustible de centrales termoeléctricas de carbón</t>
  </si>
  <si>
    <t>LER 190814</t>
  </si>
  <si>
    <t>Lodos procedentes de otros tratamientos de aguas residuales industriales, distintos de los especificados en el código 19 08 13</t>
  </si>
  <si>
    <t>LER 161104</t>
  </si>
  <si>
    <t>Otros revestimientos y refractarios procedentes de procesos metalúrgicos, distintos de los especificados en el código 161103</t>
  </si>
  <si>
    <t>LER 030399</t>
  </si>
  <si>
    <t>Residuos no especificados en otra categoría</t>
  </si>
  <si>
    <t>LER 190112</t>
  </si>
  <si>
    <t>Cenizas de fondo de horno y escorias distintas de las especificadas en el código 190111</t>
  </si>
  <si>
    <t>LER 190805</t>
  </si>
  <si>
    <t>Lodos del tratamiento de aguas residuales urbanas</t>
  </si>
  <si>
    <t>LER 040106</t>
  </si>
  <si>
    <t>Lodos, en particular los procedentes del tratamiento in situ de efluentes, que contienen cromo</t>
  </si>
  <si>
    <t>LER Otros residuos</t>
  </si>
  <si>
    <t>Otros residuos</t>
  </si>
  <si>
    <t>Residuos de Construcción y Demolición</t>
  </si>
  <si>
    <t>Tierras y piedras no contaminadas (170504)</t>
  </si>
  <si>
    <t>Escombros entregados al Servicio Público</t>
  </si>
  <si>
    <t>Escombros entregados a gestores privados</t>
  </si>
  <si>
    <t>Zona</t>
  </si>
  <si>
    <t>Titular concesionario del servicio público</t>
  </si>
  <si>
    <t>Cantidad gestionada (t)</t>
  </si>
  <si>
    <t>VI</t>
  </si>
  <si>
    <t>Bárboles</t>
  </si>
  <si>
    <t>Construcciones Mariano Lopez Navarro,S.A.</t>
  </si>
  <si>
    <t>Alfajarín</t>
  </si>
  <si>
    <t xml:space="preserve">Total </t>
  </si>
  <si>
    <t>(*) Se excluye el LER 17 05 04 Tierras y piedras</t>
  </si>
  <si>
    <t>Descripción</t>
  </si>
  <si>
    <t>Tm</t>
  </si>
  <si>
    <t>Hormigón</t>
  </si>
  <si>
    <t>Mezclas bituminosas</t>
  </si>
  <si>
    <t>Mezclas de hormigón, ladrillos y tejas</t>
  </si>
  <si>
    <t>Valorizadas</t>
  </si>
  <si>
    <t>Eliminadas mediante depósito en vertedero</t>
  </si>
  <si>
    <r>
      <t>t escombros</t>
    </r>
    <r>
      <rPr>
        <b/>
        <strike/>
        <sz val="10"/>
        <color rgb="FFFF0000"/>
        <rFont val="Arial"/>
        <family val="2"/>
      </rPr>
      <t/>
    </r>
  </si>
  <si>
    <t>Productores de Residuos Peligrosos registrados</t>
  </si>
  <si>
    <t>Pequeños productores de Residuos Peligrosos registrados</t>
  </si>
  <si>
    <t>Gestores de Residuos Peligrosos autorizados (con instalación)</t>
  </si>
  <si>
    <t>Agente de Residuos Peligrosos</t>
  </si>
  <si>
    <t>Negociante de Residuos Peligrosos</t>
  </si>
  <si>
    <t>Recogedor de Residuos Peligrosos</t>
  </si>
  <si>
    <t>Transportista de Residuos Peligrosos</t>
  </si>
  <si>
    <t>Cantidad de residuos (toneladas)</t>
  </si>
  <si>
    <t xml:space="preserve"> </t>
  </si>
  <si>
    <t>Tratamiento</t>
  </si>
  <si>
    <t>Tratamiento Físico-Químico (D09)</t>
  </si>
  <si>
    <t>Enviados a vertedero (D05)</t>
  </si>
  <si>
    <t>Enviados a valorización (R01 - R11)</t>
  </si>
  <si>
    <t>Gestión FINAL en Aragón</t>
  </si>
  <si>
    <t>Enviados a gestionar fuera de Aragón</t>
  </si>
  <si>
    <t>Producidos en Aragón</t>
  </si>
  <si>
    <t>Producidos fuera de España</t>
  </si>
  <si>
    <t>Enviados a vertedero</t>
  </si>
  <si>
    <t>Enviados a valorización</t>
  </si>
  <si>
    <t>Gestión intermedia</t>
  </si>
  <si>
    <t>Tratamiento Físico-Químico</t>
  </si>
  <si>
    <t>Residuos gestionados en Aragón según tipo de gestión (t)</t>
  </si>
  <si>
    <t>Categoría RAEE</t>
  </si>
  <si>
    <t>RAEE origen uso doméstico (t)</t>
  </si>
  <si>
    <t>Total RAEE uso doméstico recogidos (t)</t>
  </si>
  <si>
    <t>RAEE uso doméstico recogidos (kg/habitante)</t>
  </si>
  <si>
    <t>Objetivo establecido por MITECO para Aragón  (t)</t>
  </si>
  <si>
    <t>% cumplimiento objetivo RAEE uso doméstico recogidos</t>
  </si>
  <si>
    <t>RAEE origen uso profesional (t)</t>
  </si>
  <si>
    <t>Total RAEE uso profesional recogidos (t)</t>
  </si>
  <si>
    <t>% cumplimiento objetivo RAEE uso profesional recogidos</t>
  </si>
  <si>
    <t>RAEE recogidos (t)</t>
  </si>
  <si>
    <t>% cumplimiento objetivo RAEE recogidos</t>
  </si>
  <si>
    <t>Punto Limpio</t>
  </si>
  <si>
    <t>Distribuidores</t>
  </si>
  <si>
    <t>Productores</t>
  </si>
  <si>
    <t>Gestores</t>
  </si>
  <si>
    <t xml:space="preserve">FR1. Aparatos de intercambio de temperatura </t>
  </si>
  <si>
    <t>Aparatos de intercambio de temperatura</t>
  </si>
  <si>
    <t>FR2. Pequeños electrodomésticos</t>
  </si>
  <si>
    <t>Pequeños electrodomésticos</t>
  </si>
  <si>
    <t>FR3. Lámparas</t>
  </si>
  <si>
    <t>--</t>
  </si>
  <si>
    <t>Lámparas</t>
  </si>
  <si>
    <t>FR4. Grandes aparatos</t>
  </si>
  <si>
    <t>Grandes aparatos</t>
  </si>
  <si>
    <t>FR5. Pequeños aparatos</t>
  </si>
  <si>
    <t>Pequeños aparatos</t>
  </si>
  <si>
    <t xml:space="preserve">FR6. Aparatos de informática y telecomunicaciones pequeños </t>
  </si>
  <si>
    <t>Aparatos de informática y telecomunicaciones</t>
  </si>
  <si>
    <t>FR7. Paneles fotovoltaicos</t>
  </si>
  <si>
    <t>Paneles fotovoltaicos</t>
  </si>
  <si>
    <t>Fuente: SRAP. Elaborado por la Dirección General de Calidad Ambiental</t>
  </si>
  <si>
    <t>SCRAP Y SISTEMAS INDIVIDUALES</t>
  </si>
  <si>
    <t>Preparación para la reutilización</t>
  </si>
  <si>
    <t>Valorización (incluye reciclado y valorización energética)</t>
  </si>
  <si>
    <t>Eliminación</t>
  </si>
  <si>
    <t>TOTAL (t)</t>
  </si>
  <si>
    <t>Fuente: Sistemas Integrados de Gestión. Elaborado por la Dirección General de Calidad Ambiental</t>
  </si>
  <si>
    <t>RAEE uso doméstico recogidos por los SCRAP</t>
  </si>
  <si>
    <t>RAEE uso profesional recogidos por los SCRAP</t>
  </si>
  <si>
    <t>TOTAL (toneladas)</t>
  </si>
  <si>
    <t>kg RAEE uso doméstico/habitante año</t>
  </si>
  <si>
    <t>toneladas recogidos / año</t>
  </si>
  <si>
    <t>Número de municipios atendidos*</t>
  </si>
  <si>
    <t>Número de puntos de recogida</t>
  </si>
  <si>
    <t>kilogramos / habitante atendido y año</t>
  </si>
  <si>
    <t>Indice de recogida pilas portátiles (%)</t>
  </si>
  <si>
    <t>* han realizado recogidas durante el año</t>
  </si>
  <si>
    <t>Fuente: Elaborado por Dirección General de Calidad Ambiental a partir de la información proporcionada por los SCRAP autorizados.</t>
  </si>
  <si>
    <t>Recogida selectiva pilas portátiles (t)</t>
  </si>
  <si>
    <t>kg/persona</t>
  </si>
  <si>
    <t>Puntos de recogida</t>
  </si>
  <si>
    <t>Puntos colaboradores</t>
  </si>
  <si>
    <t>Fuente: Dirección General de Calidad Ambiental a partir de las memorias de los SIG SIGFITO y AEVAE</t>
  </si>
  <si>
    <t>Total envases fitosanitarios recogidos</t>
  </si>
  <si>
    <t>Número de puntos de recogida operativos</t>
  </si>
  <si>
    <t>Toneladas recogidas</t>
  </si>
  <si>
    <t>Fuente: Dirección General de Calidad Ambiental elaborado por los datos proporcionados por los SIG</t>
  </si>
  <si>
    <t>Toneladas de NFU recogidos por los SIG</t>
  </si>
  <si>
    <t>Fuente: Dirección General de Calidad Ambiental a partir de las memorias de los SIG NTU y SIGNUS</t>
  </si>
  <si>
    <t>Año</t>
  </si>
  <si>
    <t>Número de CAT</t>
  </si>
  <si>
    <t>Certificados de destrucción</t>
  </si>
  <si>
    <t>CÓDIGO</t>
  </si>
  <si>
    <t>UNIDADES</t>
  </si>
  <si>
    <t>FUENTE DE ORIGEN</t>
  </si>
  <si>
    <t>D.P.- DATOS SOBRE EL PROGRAMA DE PREVENCIÓN</t>
  </si>
  <si>
    <t>D.P.1</t>
  </si>
  <si>
    <t>La relación porcentual entre el peso de los residuos de envases generados en un año y el peso de los productos envasados consumidos en el mismo año, calculado sobre los envases que participan en los planes de prevención de ECOEMBES. Dato Aragón. (Kr/Kp)</t>
  </si>
  <si>
    <t>adimensional</t>
  </si>
  <si>
    <t>Ecoembalajes España, S.A.</t>
  </si>
  <si>
    <t>D.P.2</t>
  </si>
  <si>
    <t>La relación porcentual entre el peso de los residuos de envases generados en un año y el peso de los productos envasados consumidos en el mismo año, calculado sobre los envases que participan en los planes de prevención de ECOVIDRIO. Dato Aragón. (Kr/Kp)</t>
  </si>
  <si>
    <t>ECOVIDRIO</t>
  </si>
  <si>
    <t>D.P.3</t>
  </si>
  <si>
    <t>Número total de empresas que poseen registro de auditoría ambiental EMAS y/o de otros sistemas de gestión ambiental implantados</t>
  </si>
  <si>
    <t>13 (EMAS)</t>
  </si>
  <si>
    <t>14 (EMAS)</t>
  </si>
  <si>
    <t>Nº empresas</t>
  </si>
  <si>
    <t>Base de datos SICA</t>
  </si>
  <si>
    <t>D.P.4</t>
  </si>
  <si>
    <t>Número de empresas con sede social en Aragón que participan en los planes Empresariales de Prevención presentados por los sistemas integrales de gestión Ecoembes y Ecovidrio</t>
  </si>
  <si>
    <t>Ecoembalajes Espala, S.A. y ECOVIDRIO</t>
  </si>
  <si>
    <t>Para el indicador I.P.2 de la tabla siguiente</t>
  </si>
  <si>
    <t>D.P.5</t>
  </si>
  <si>
    <t>Cantidad total de residuos de envases recogidos/año en Aragón en contenedores de recogida selectiva.</t>
  </si>
  <si>
    <t>t</t>
  </si>
  <si>
    <t>D.P.6</t>
  </si>
  <si>
    <t>Cantidad total de residuos generados/año en Aragón.</t>
  </si>
  <si>
    <t>Declaraciones de productores y Memorias anuales de gestores</t>
  </si>
  <si>
    <t>Reducción respecto 2010</t>
  </si>
  <si>
    <t>D.P.7</t>
  </si>
  <si>
    <t xml:space="preserve">Cantidad total de residuos generados en el año 2010 en Aragón </t>
  </si>
  <si>
    <t>D.G. Calidad Ambiental</t>
  </si>
  <si>
    <t>D.P.8</t>
  </si>
  <si>
    <t>Cantidad total de residuos generados/año en sin cenizas de procesos térmicos Aragón.</t>
  </si>
  <si>
    <t>D.RD.- DATOS SOBRE EL PROGRAMA VERTICAL DE RESIDUOS DOMÉSTICOS Y COMERCIALES</t>
  </si>
  <si>
    <t>D.RD.1</t>
  </si>
  <si>
    <t>Generación anual de residuos domésticos</t>
  </si>
  <si>
    <t>SIG y memorias anuales de gestores</t>
  </si>
  <si>
    <t>D.RD.2</t>
  </si>
  <si>
    <t>Cantidad anual de residuos domésticos y comerciales destinados a preparación para la reutilización y reciclado en Aragón.</t>
  </si>
  <si>
    <t>D.RD.3</t>
  </si>
  <si>
    <t xml:space="preserve">Generación anual de fracción resto de residuos domésticos (LER 200301). </t>
  </si>
  <si>
    <t>Memorias anuales de gestores</t>
  </si>
  <si>
    <t>D.RD.4</t>
  </si>
  <si>
    <t>Residuos domésticos y comerciales no recogidos selectivamente eliminados anualmente mediante depósito en vertedero</t>
  </si>
  <si>
    <t>D.RD.5</t>
  </si>
  <si>
    <t>Valorización anual de la fracción rechazo de residuos domésticos mediante separación o triaje en destino (para obtención de material bioestabilizado, o materiales recuperados)</t>
  </si>
  <si>
    <t>Memoria CTRUZ</t>
  </si>
  <si>
    <t>D.RD.6</t>
  </si>
  <si>
    <t xml:space="preserve">Cantidad anual de biorresiduos recogidos selectivamente </t>
  </si>
  <si>
    <t>-</t>
  </si>
  <si>
    <t>D.RD.7</t>
  </si>
  <si>
    <t>Residuos domésticos recogidos anualmente en puntos limpios</t>
  </si>
  <si>
    <t>D.RD.8</t>
  </si>
  <si>
    <t>D.RD.9</t>
  </si>
  <si>
    <t>Cantidad de residuos de papel-cartón recogidos anualmente de forma selectiva  en contenedores en Aragón</t>
  </si>
  <si>
    <t>D.RD.10</t>
  </si>
  <si>
    <t>Cantidad de residuos de envases ligeros recogidos anualmente de forma selectiva en contenedores en Aragón.</t>
  </si>
  <si>
    <t>D.RD.11</t>
  </si>
  <si>
    <t>D.RD.12</t>
  </si>
  <si>
    <t>D.RD.13</t>
  </si>
  <si>
    <t>D.RD.14</t>
  </si>
  <si>
    <t>D.RD.15</t>
  </si>
  <si>
    <t>Cantidad anual de residuos de envases farmacéuticos recogidos selectivamente en Aragón.</t>
  </si>
  <si>
    <t>SIGRE</t>
  </si>
  <si>
    <t>D.RAP.- DATOS SOBRE EL PROGRAMA VERTICAL DE RESPONSABILIDAD AMPLIADA DEL PRODUCTOR</t>
  </si>
  <si>
    <t>D.RAEE.- Datos sobre responsabilidad ampliada del productor en materia de residuos de aparatos eléctricos y electrónicos (RAEE)</t>
  </si>
  <si>
    <t>D.RAEE.1</t>
  </si>
  <si>
    <t>Cantidad total de RAEE recogidos anualmente por parte de los SRAP</t>
  </si>
  <si>
    <t>SIG/SCRAP autorizados de RAEE y plataforma electrónica RAEE (en su caso)</t>
  </si>
  <si>
    <t>D.RAEE.2</t>
  </si>
  <si>
    <t>Cantidad total de RAEE recogidos anualmente por parte de gestores al margen de los Sistemas Colectivos o Individuales</t>
  </si>
  <si>
    <t>Memorias anuales de gestores RAEE</t>
  </si>
  <si>
    <t>D.RAEE.3</t>
  </si>
  <si>
    <t>Cantidad de RAEE de Categoría 1 recogidos anualmente por parte de los SRAP.</t>
  </si>
  <si>
    <t>D.RAEE.4</t>
  </si>
  <si>
    <t>Cantidad de RAEE de Categoría 2 recogidos anualmente por parte de los SRAP.</t>
  </si>
  <si>
    <t>D.RAEE.5</t>
  </si>
  <si>
    <t>Cantidad de RAEE de Categoría 3 recogidos anualmente por parte de los SRAP.</t>
  </si>
  <si>
    <t>D.RAEE.6</t>
  </si>
  <si>
    <t>Cantidad de RAEE de Categoría 4 recogidos anualmente por parte de los SRAP.</t>
  </si>
  <si>
    <t>D.RAEE.7</t>
  </si>
  <si>
    <t>Cantidad de RAEE de Categoría 5 recogidos anualmente por parte de los SRAP.</t>
  </si>
  <si>
    <t>D.RAEE.8</t>
  </si>
  <si>
    <t>Cantidad de RAEE de Categoría 6  recogidos anualmente por parte de los SRAP.</t>
  </si>
  <si>
    <t>D.RAEE.9</t>
  </si>
  <si>
    <t>Cantidad de RAEE de Categoría 7 recogidos anualmente por parte de los SRAP.</t>
  </si>
  <si>
    <t>D.RAEE.10</t>
  </si>
  <si>
    <t>Cantidad de RAEE de Categoría 8 recogidos anualmente por parte de los SRAP*</t>
  </si>
  <si>
    <t>No aplica</t>
  </si>
  <si>
    <t>D.RAEE.11</t>
  </si>
  <si>
    <t>Cantidad de RAEE de Categoría 9 recogidos anualmente por parte de los SRAP*</t>
  </si>
  <si>
    <t>D.RAEE.12</t>
  </si>
  <si>
    <t>Cantidad de RAEE de Categoría 10 recogidos anualmente por parte de los SRAP*</t>
  </si>
  <si>
    <t>* A partir de 2019 se utilizan las categorías del anexo 3 del RD 110/2015, por lo que los datos anteriores corresponden a categorías con RAEE que pueden ser diferentes, no pudiendo realizarse comparativa de los datos.</t>
  </si>
  <si>
    <t>D.NFU.- Datos sobre responsabilidad ampliada del productor en materia de neumáticos al final de su vida útil (NFU)</t>
  </si>
  <si>
    <t>D.NFU.1</t>
  </si>
  <si>
    <t>Cantidad de neumáticos puestos en el mercado en Aragón por parte de los productores adheridos a los SIG autorizados para la gestión de NFU</t>
  </si>
  <si>
    <t>SIG autorizados de NFU</t>
  </si>
  <si>
    <t>D.NFU.2</t>
  </si>
  <si>
    <t>Cantidad de NFU recogidos en Aragón por parte de los SIG de NFU</t>
  </si>
  <si>
    <t>D.NFU.3</t>
  </si>
  <si>
    <t>Cantidad de NFU reutilizados de los recogidos en Aragón por parte de los SIG de NFU</t>
  </si>
  <si>
    <t>D.NFU.4</t>
  </si>
  <si>
    <t>Cantidad de NFU tratados (reutilizados y valorizados) de los recogidos en Aragón por parte de los SIG</t>
  </si>
  <si>
    <t>D. PAB.- Datos sobre responsabilidad ampliada del productor en materia de residuos de pilas, acumuladores y baterías (PAB)</t>
  </si>
  <si>
    <t>D.PAB.4</t>
  </si>
  <si>
    <t>SIG autorizados de PAB</t>
  </si>
  <si>
    <t>D.PAB.5</t>
  </si>
  <si>
    <t>Productores de baterias de automoción de Pb Ácido+SIG autorizados de PAB</t>
  </si>
  <si>
    <t>D.PAB.6</t>
  </si>
  <si>
    <t>D.PAB.7</t>
  </si>
  <si>
    <t>D.PAB.8</t>
  </si>
  <si>
    <t>Productores de baterías de automoción de Pb ácido + SIG autorizados de PAB</t>
  </si>
  <si>
    <t>D.PAB.9</t>
  </si>
  <si>
    <t>D.FIT.- Datos sobre responsabilidad ampliada del productor en materia de envases fitosanitarios</t>
  </si>
  <si>
    <t>D.FIT.1</t>
  </si>
  <si>
    <t>Cantidad de residuos de envases fitosanitarios recogidos</t>
  </si>
  <si>
    <t>SIGFITO y AEVAE</t>
  </si>
  <si>
    <t>D.FIT.2</t>
  </si>
  <si>
    <r>
      <t>Cantidad de residuos de envases fitosanitarios puestos en el mercado</t>
    </r>
    <r>
      <rPr>
        <sz val="7"/>
        <color indexed="10"/>
        <rFont val="Arial"/>
        <family val="2"/>
      </rPr>
      <t/>
    </r>
  </si>
  <si>
    <t>D.VFU.- Datos sobre responsabilidad ampliada del productor en materia de vehículos al final de su vida útil (VFU)</t>
  </si>
  <si>
    <t>D. VFU.1</t>
  </si>
  <si>
    <t>Cantidad en peso de material reutilizado  procedente de vehículos tratados en instalaciones de la comunidad autónoma de Aragón</t>
  </si>
  <si>
    <t>Memorias anuales de gestores CAT</t>
  </si>
  <si>
    <t>D. VFU.2</t>
  </si>
  <si>
    <t>Cantidad en peso de material reciclado procedente de vehículos tratados en instalaciones de la comunidad autónoma de Aragón</t>
  </si>
  <si>
    <t>D. VFU.3</t>
  </si>
  <si>
    <t>Cantidad en peso de material  valorizado  procedente de vehículos tratados en instalaciones de la comunidad autónoma de Aragón</t>
  </si>
  <si>
    <t>D. VFU.4</t>
  </si>
  <si>
    <t>Cantidad en peso total de vehículos tratados en instalaciones de la comunidad autónoma de Aragón</t>
  </si>
  <si>
    <t>D. VFU.5</t>
  </si>
  <si>
    <t>nº de CAT autorizados en Aragón</t>
  </si>
  <si>
    <t>uds.</t>
  </si>
  <si>
    <t>D. VFU.6</t>
  </si>
  <si>
    <t>nº de fragmentadoras autorizadas en Aragón</t>
  </si>
  <si>
    <t>D. VFU.7</t>
  </si>
  <si>
    <t>Número de certificados de destrucción de vehículos al final de su vida útil</t>
  </si>
  <si>
    <t>D. VFU.8</t>
  </si>
  <si>
    <t>Cantidad en peso de piezas y componentes de los vehículos preparados para la reutilización y comercializados por los CAT autorizados en Aragón</t>
  </si>
  <si>
    <t>D.AU.- Datos sobre responsabilidad ampliada del productor en materia de residuos de aceites industriales</t>
  </si>
  <si>
    <t>D.AU.1</t>
  </si>
  <si>
    <t>Cantidad de aceite industrial puesto en el mercado en Aragón por parte de los productores adheridos a los SIG de aceites</t>
  </si>
  <si>
    <t>SIG autorizados de aceites industriales usados</t>
  </si>
  <si>
    <t>D.AU.2</t>
  </si>
  <si>
    <t>D.AU.3</t>
  </si>
  <si>
    <t>D.AU.4</t>
  </si>
  <si>
    <t>Véanse además los datos referentes a residuos consistentes en envases ligeros, envases de vidrio, envases de papel cartón y envases de vidrio, en la tabla D.RD, que contiene los referentes al programa de residuos domésticos y comerciales.</t>
  </si>
  <si>
    <t>D.RCD.- DATOS SOBRE EL PROGRAMA VERTICAL DE RESIDUOS DE CONSTRUCCIÓN Y DEMOLICIÓN</t>
  </si>
  <si>
    <t>D.RCD.1</t>
  </si>
  <si>
    <t>Generación anual de residuos de construcción y demolición</t>
  </si>
  <si>
    <t>Memoria anual de gestores.</t>
  </si>
  <si>
    <t>D.RCD.2</t>
  </si>
  <si>
    <t>Cantidad de residuos de construcción y demolición destinados al servicio público de titularidad autonómica de escombros no procedentes de obras menores de construcción y reparación domiciliaria (se excluye el LER 170504)</t>
  </si>
  <si>
    <t>Memoria anual de los concesionarios</t>
  </si>
  <si>
    <t>D.RCD.3</t>
  </si>
  <si>
    <t>Cantidad anual de residuos de construcción y demolición destinados a operaciones de valorización en Aragón (se excluye el LER 170504)</t>
  </si>
  <si>
    <t>Memoria anual de gestores, concesionarios y Puntos Limpios</t>
  </si>
  <si>
    <t>D.RCD.4</t>
  </si>
  <si>
    <t>Cantidad anual de residuos de construcción y demolición eliminados mediante depósito en vertedero en Aragón (se excluye el LER 170504)</t>
  </si>
  <si>
    <t>* Se han recalculado los indicadores relativos a la gestión de residuos de construcción y demolición para su adaptación a la metodología de cálculo utilizada en 2020.</t>
  </si>
  <si>
    <t>D.LD.- DATOS SOBRE EL PROGRAMA VERTICAL DE LODOS DE DEPURACIÓN DE AGUAS RESIDUALES</t>
  </si>
  <si>
    <t>D.LD.1</t>
  </si>
  <si>
    <t>Generación anual de residuos orgánicos consistentes en lodos procedentes de estaciones depuradoras de aguas residuales urbanas de Aragón, medida en toneladas en base seca.</t>
  </si>
  <si>
    <t>t (m.s.)</t>
  </si>
  <si>
    <t>Memorias anuales de gestores e Instituto Aragonés del Agua</t>
  </si>
  <si>
    <t>D.RP.- DATOS SOBRE EL PROGRAMA VERTICAL DE RESIDUOS PELIGROSOS</t>
  </si>
  <si>
    <t>D.RP.1</t>
  </si>
  <si>
    <t>Generación anual de residuos peligrosos</t>
  </si>
  <si>
    <t>D.RP.2</t>
  </si>
  <si>
    <t>Cantidad de residuos peligrosos gestionados anualmente en Aragón</t>
  </si>
  <si>
    <t>Véanse además los datos referentes a residuos de pilas y acumuladores portátiles y de automoción en la tabla D.RAP, que contiene los referentes al programa de responsabilidad ampliada del productor.</t>
  </si>
  <si>
    <t>D.RA.- DATOS SOBRE EL PROGRAMA VERTICAL DE RESIDUOS AGRARIOS</t>
  </si>
  <si>
    <t>D.RA.1</t>
  </si>
  <si>
    <t>Generación anual de residuos orgánicos consistentes en materias fecales procedentes de instalaciones ganaderas en Aragón, medida en toneladas en base húmeda</t>
  </si>
  <si>
    <t xml:space="preserve"> n.d.</t>
  </si>
  <si>
    <t>Declaraciones anuales de los titulares de las instalaciones ganaderas</t>
  </si>
  <si>
    <t>D.RIE.- DATOS SOBRE EL PROGRAMA VERTICAL DE RESIDUOS DE INDUSTRIAS EXTRACTIVAS</t>
  </si>
  <si>
    <t>D.RIE.1</t>
  </si>
  <si>
    <t>Nº de explotaciones mineras activas</t>
  </si>
  <si>
    <t>DG de energía y minas</t>
  </si>
  <si>
    <t>D.RIE.2</t>
  </si>
  <si>
    <t>Producción minera anual</t>
  </si>
  <si>
    <t>D.RIE.3</t>
  </si>
  <si>
    <t>Nº de Planes de Restauración aprobados durante el año</t>
  </si>
  <si>
    <t>D.RIE.4</t>
  </si>
  <si>
    <t>Nº de instalaciones de residuos mineros (IRM) existentes</t>
  </si>
  <si>
    <t>D.RNP.- DATOS SOBRE EL PROGRAMA VERTICAL DE RESIDUOS NO PELIGROSOS (SIN LEGISLACIÓN ESPECÍFICA)</t>
  </si>
  <si>
    <t>D.RNP.1</t>
  </si>
  <si>
    <t>Generación anual de residuos no peligrosos producidos en Aragón</t>
  </si>
  <si>
    <t>D.RNP.2</t>
  </si>
  <si>
    <t>Generación anual de residuos no peligrosos (sin incluir RCD)</t>
  </si>
  <si>
    <t>D.RNP.3</t>
  </si>
  <si>
    <t>Generación anual de residuos no peligrosos procedentes de procesos térmicos (cenizas).</t>
  </si>
  <si>
    <t>D.RNP.4</t>
  </si>
  <si>
    <t>Generación anual de residuos no peligrosos sin RCD y sin cenizas</t>
  </si>
  <si>
    <t>D.RNP.5</t>
  </si>
  <si>
    <t>Cantidad anual de residuos no peligrosos gestionados en Aragón</t>
  </si>
  <si>
    <t>D.RNP.6</t>
  </si>
  <si>
    <t>Cantidad anual de residuos destinados al servicio público de titularidad autonómica para su eliminación.</t>
  </si>
  <si>
    <t>D.BE.- DATOS SOBRE EL PROGRAMA VERTICAL DE BUQUES Y EMBARCACIONES AL FINAL DE SU VIDA ÚTIL</t>
  </si>
  <si>
    <t>No se precisan datos específicos de este programa</t>
  </si>
  <si>
    <t>D.RS.- DATOS SOBRE EL PROGRAMA VERTICAL DE RESIDUOS SANITARIOS</t>
  </si>
  <si>
    <t>D.VE.- DATOS SOBRE EL PROGRAMA DEPÓSITO DE RESIDUOS EN VERTEDEROS</t>
  </si>
  <si>
    <t>D.VE.1</t>
  </si>
  <si>
    <t>Cantidad total de residuos urbanos biodegradables generados en 1995</t>
  </si>
  <si>
    <t>D.VE.2</t>
  </si>
  <si>
    <t>Residuos urbanos biodegradables depositados en vertedero*</t>
  </si>
  <si>
    <t xml:space="preserve">D.G. Calidad Ambiental a partir de memoria anual de gestores y caracterizaciones </t>
  </si>
  <si>
    <t>D.IE.- DATOS SOBRE EL PROGRAMA TRASLADOS Y MOVIMIENTOS DE RESIDUOS</t>
  </si>
  <si>
    <t>D.TM.1</t>
  </si>
  <si>
    <t>Cantidad  total de residuos peligrosos tratados en Aragón procedentes de otros Estados miembros y de terceros paises en toneladas</t>
  </si>
  <si>
    <t>D.TM.2</t>
  </si>
  <si>
    <t>Cantidad  total de residuos peligrosos que salieron de Aragón a tratar en otros Estados miembros y en terceros paises en toneladas</t>
  </si>
  <si>
    <t>D.SC.- DATOS SOBRE EL PROGRAMA SUELOS CONTAMINADOS</t>
  </si>
  <si>
    <t>D.SC.1</t>
  </si>
  <si>
    <t>Número de analíticas de control del aire</t>
  </si>
  <si>
    <t>DG Calidad Ambiental</t>
  </si>
  <si>
    <t>D.SC.2</t>
  </si>
  <si>
    <t>m3</t>
  </si>
  <si>
    <t>D.SC.3</t>
  </si>
  <si>
    <t>D.SC.4</t>
  </si>
  <si>
    <t>Número de analíticas realizadas en el laboratorio de Bailín</t>
  </si>
  <si>
    <t>D.SC.5</t>
  </si>
  <si>
    <t>Número de analíticas externalizadas</t>
  </si>
  <si>
    <t>D.SC.6</t>
  </si>
  <si>
    <t>Número de analíticas de agua del protocolo de vigilancia de la calidad del agua del río Gállego</t>
  </si>
  <si>
    <t>D.SC.7</t>
  </si>
  <si>
    <t>Número de analíticas  asociadas al seguimiento de estado ecologico de los cauces asociados</t>
  </si>
  <si>
    <t>D.SC.8</t>
  </si>
  <si>
    <t>ml de nuevos sondeos perforados Bailín</t>
  </si>
  <si>
    <t>m</t>
  </si>
  <si>
    <t>D.SC.9</t>
  </si>
  <si>
    <t>ml de nuevos sondeos perforados Sardas</t>
  </si>
  <si>
    <t>D.SC.10</t>
  </si>
  <si>
    <t>nº de nuevos sondeos perforados Bailín</t>
  </si>
  <si>
    <t>D.SC.11</t>
  </si>
  <si>
    <t>nº de nuevos sondeos perforados Sardas</t>
  </si>
  <si>
    <t>D.SC.12</t>
  </si>
  <si>
    <t>m3 de DNAPL extraído Bailín</t>
  </si>
  <si>
    <t>D.SC.13</t>
  </si>
  <si>
    <t>m3 de DNAPL extraído Sardas</t>
  </si>
  <si>
    <t>D.AMB.- DATOS PARA EL SEGUIMIENTO AMBIENTAL</t>
  </si>
  <si>
    <t>D.AMB.1</t>
  </si>
  <si>
    <t>Producción de GEI emitidos por el sector de tratamiento y eliminación de residuos</t>
  </si>
  <si>
    <t>kt equivalentes de CO2</t>
  </si>
  <si>
    <t>Inventario nacional de emisiones. Edición 2019. D.G. Calidad Ambiental</t>
  </si>
  <si>
    <t>En el inventario se dan los datos de 2 años antes, por tanto hasta el inventario de 2019, no tendremos el dato del 2017</t>
  </si>
  <si>
    <t>D.AMB.2</t>
  </si>
  <si>
    <t>GEI emitidos por todos los sectores de actividad</t>
  </si>
  <si>
    <t>MOTIVACIÓN</t>
  </si>
  <si>
    <t xml:space="preserve">OBJETIVO </t>
  </si>
  <si>
    <t>VALOR EN 2012</t>
  </si>
  <si>
    <t>VALOR EN 2013</t>
  </si>
  <si>
    <t>VALOR EN 2014</t>
  </si>
  <si>
    <t>VALOR EN 2015</t>
  </si>
  <si>
    <t>VALOR              2016</t>
  </si>
  <si>
    <t>VALOR              2017**</t>
  </si>
  <si>
    <t>VALOR              2018**</t>
  </si>
  <si>
    <t>VALOR              2019**</t>
  </si>
  <si>
    <t>VALOR 2020**</t>
  </si>
  <si>
    <t>VALOR 2021</t>
  </si>
  <si>
    <t>VALOR 2022</t>
  </si>
  <si>
    <t>¿CUMPLE a 2022?</t>
  </si>
  <si>
    <t>I.P.- INDICADORES REFERENTES AL PROGRAMA HORIZONTAL DE PREVENCIÓN</t>
  </si>
  <si>
    <t>I.P.1</t>
  </si>
  <si>
    <t>Cantidad total de residuos generados/año/PIB (Kg/1000€)</t>
  </si>
  <si>
    <t>Programa Estatal de Prevención de Residuos 2014-2020</t>
  </si>
  <si>
    <t xml:space="preserve"> ---</t>
  </si>
  <si>
    <t>I.P.2.</t>
  </si>
  <si>
    <t xml:space="preserve">% de reducción de la generación anual de residuos respecto los generados en 2010 </t>
  </si>
  <si>
    <t>Ley 7/2022 (art.17.1)</t>
  </si>
  <si>
    <t>10% en 2020
13% en 2025</t>
  </si>
  <si>
    <t>NO</t>
  </si>
  <si>
    <t>I.P.3</t>
  </si>
  <si>
    <t>Cantidad total de residuos generados sin cenizas de procesos térmicos/año/PIB (Kg/1000€)</t>
  </si>
  <si>
    <t>I.P.4</t>
  </si>
  <si>
    <t>% de reducción de la generación anual de residuos respecto los generados en 2010, sin cenizas de procesos térmicos</t>
  </si>
  <si>
    <t>Ley 7/2022 Art.17.1 en lo referido a "romper el vínculo entre el crecimiento económico y los impactos sobre la salud humana y el medio ambiente asociados a la generación de residuos"</t>
  </si>
  <si>
    <t>Ha reducido un 10%</t>
  </si>
  <si>
    <t>Ha reducido un 14%</t>
  </si>
  <si>
    <t>Ha reducido un 6%</t>
  </si>
  <si>
    <t>I.P.RD.- Indicadores de prevención en materia de residuos domésticos (RD)</t>
  </si>
  <si>
    <t>I.P.RD.1</t>
  </si>
  <si>
    <t>% de reducción de la generación anual de residuos domésticos y comerciales, respecto a los generados en el año 2010</t>
  </si>
  <si>
    <t>11% de reducción</t>
  </si>
  <si>
    <t>14% de reducción</t>
  </si>
  <si>
    <t>13% de reducción</t>
  </si>
  <si>
    <t>8 % de reducción</t>
  </si>
  <si>
    <t>6% de reducción</t>
  </si>
  <si>
    <t>4% de reducción</t>
  </si>
  <si>
    <t>7% de reducción</t>
  </si>
  <si>
    <t>3% de reducción</t>
  </si>
  <si>
    <t>I.P.RCD.- Indicadores de prevención en materia de residuos de construcción y demolición (RCD)*</t>
  </si>
  <si>
    <t>I.P.RCD.1</t>
  </si>
  <si>
    <t>% de reducción de la generación anual de residuos de construcción y demolición respecto los generados en el año 2010</t>
  </si>
  <si>
    <t>34% de reducción</t>
  </si>
  <si>
    <t>27,6% de reducción</t>
  </si>
  <si>
    <t>33,1% de reducción</t>
  </si>
  <si>
    <t>6,9% de reducción</t>
  </si>
  <si>
    <t>35,4% de reducción</t>
  </si>
  <si>
    <t>26,0% de reducción</t>
  </si>
  <si>
    <t xml:space="preserve"> 15,1% de reducción</t>
  </si>
  <si>
    <t xml:space="preserve"> 10,0% de reducción</t>
  </si>
  <si>
    <t xml:space="preserve"> 3,5% de incremento</t>
  </si>
  <si>
    <t>18% incremento</t>
  </si>
  <si>
    <t>22 % incremento</t>
  </si>
  <si>
    <t>I.P.RCD.2</t>
  </si>
  <si>
    <t>Cantidad de RCD/año/PIB (Kg/1000€)</t>
  </si>
  <si>
    <t>PIB 2022</t>
  </si>
  <si>
    <t>41763 M€</t>
  </si>
  <si>
    <t>* Serie recalculada según metodología de cálculo de 2020. Se utiliza dato PIB 2019, al ser el último publicado</t>
  </si>
  <si>
    <t>I.P.RNP.- Indicadores de prevención en materia de residuos no peligrosos (RNP)</t>
  </si>
  <si>
    <t>I.P.RNP.1</t>
  </si>
  <si>
    <t>% de reducción  de la generación anual de RNP respecto los generados en el año 2010 (sin RCD)</t>
  </si>
  <si>
    <t>Ley 22/2011 Art.15.1 en lo referido a "romper el vínculo entre el crecimiento económico y los impactos sobre la salud humana y el medio ambiente asociados a la generación de residuos"</t>
  </si>
  <si>
    <t>Reducción del peso de los residuos producidos en 2020 en un 10% respecto a los generados en 2010</t>
  </si>
  <si>
    <t>Ha crecido un 77,6%</t>
  </si>
  <si>
    <t>Ha crecido un 47,6%</t>
  </si>
  <si>
    <t>Ha reducido un 21,3%</t>
  </si>
  <si>
    <t>I.P.RNP.2</t>
  </si>
  <si>
    <t xml:space="preserve">% de reducción de la generación anual  de RNP procedentes de procesos térmicos (cenizas) respecto los generados en el año 2010 </t>
  </si>
  <si>
    <t>Ha crecido un 157,7%</t>
  </si>
  <si>
    <t>Ha crecido un 73,76%</t>
  </si>
  <si>
    <t>Ha reducido un 11,1%</t>
  </si>
  <si>
    <t>I.P.RNP.3</t>
  </si>
  <si>
    <t>% de reducción de la generación anual de RNP (sin RCD) no procedentes de procesos térmicos respecto los generados en el año 2010</t>
  </si>
  <si>
    <t xml:space="preserve"> 2,4% de reducción</t>
  </si>
  <si>
    <t>Ha crecido un 40,1%</t>
  </si>
  <si>
    <t>Ha crecido un 35,4%</t>
  </si>
  <si>
    <t>Ha credido un 36,5%</t>
  </si>
  <si>
    <t>I.P.RP.- Indicadores de prevención en materia de residuos peligrosos (RP)</t>
  </si>
  <si>
    <t>I.P.RP.1</t>
  </si>
  <si>
    <t>% de reducción de la generación anual de residuos peligrosos respecto los generados en el año 2010</t>
  </si>
  <si>
    <t>14,5% de reducción</t>
  </si>
  <si>
    <t>14,2%de reducción</t>
  </si>
  <si>
    <t>5,5% de reducción</t>
  </si>
  <si>
    <t>Ha crecido un 6,7%</t>
  </si>
  <si>
    <t>Ha crecido un 10,7%</t>
  </si>
  <si>
    <t>Ha crecido un 4,9 %</t>
  </si>
  <si>
    <t>Ha crecido un 8,3%</t>
  </si>
  <si>
    <t>Ha crecido un 16 %</t>
  </si>
  <si>
    <t>I.P.RP.3</t>
  </si>
  <si>
    <t>Cantidad total de residuos peligrosos/año/PIB industrial (Kg/1000€)</t>
  </si>
  <si>
    <t>I.V.- INDICADORES REFERENTES AL PROGRAMA HORIZONTAL DE VALORIZACIÓN</t>
  </si>
  <si>
    <t>I.V.1</t>
  </si>
  <si>
    <t>% de residuos domésticos y comerciales destinados a preparación para reutilización y reciclado</t>
  </si>
  <si>
    <t>Ley 7/2022 Art. 26.1 a)</t>
  </si>
  <si>
    <t xml:space="preserve">&gt; 50%
&gt; 55% en 2025  </t>
  </si>
  <si>
    <t>I.V.2</t>
  </si>
  <si>
    <t>% en peso de RCDs no peligrosos destinados a preparación para la reutilización, reciclado y valorización material (se excluye el LER 170504)</t>
  </si>
  <si>
    <t>Ley 7/2022 Art. 26.1 b)</t>
  </si>
  <si>
    <t>&gt; 70%</t>
  </si>
  <si>
    <t>Véanse además los indicadores de la tabla I.RAP, referentes al programa de responsabilidad ampliada del productor, y de la tabla I.LD (programa de lodos EDAR).</t>
  </si>
  <si>
    <t>I.C.- INDICADORES REFERENTES AL PROGRAMA HORIZONTAL DE CONTROL</t>
  </si>
  <si>
    <t>I.C.1</t>
  </si>
  <si>
    <t>Número de inspecciones realizadas al año.</t>
  </si>
  <si>
    <t xml:space="preserve"> Programa de control del GIRA</t>
  </si>
  <si>
    <t>En función de los recursos humanos y materiales disponibles</t>
  </si>
  <si>
    <t>I.C.2</t>
  </si>
  <si>
    <t>Número de actuaciones inspectoras al año.</t>
  </si>
  <si>
    <t>I.RD.- INDICADORES REFERENTES AL PROGRAMA VERTICAL DE RESIDUOS DOMÉSTICOS Y COMERCIALES</t>
  </si>
  <si>
    <t>I.RD.1</t>
  </si>
  <si>
    <t>Generación anual de fracción resto de residuos domésticos (LER 200301) en Kg por habitante y año</t>
  </si>
  <si>
    <t>Indicador histórico y de empleo habitual</t>
  </si>
  <si>
    <t>Véanse además los indicadores referentes a residuos domésticos y comerciales en las tablas I.P.RD (Prevención), I.V (Valorización) e I.RAP (Responsabilidad ampliada de los productores)</t>
  </si>
  <si>
    <t>I.RAP.- INDICADORES REFERENTES AL PROGRAMA DE RESPONSABILIDAD AMPLIADA DEL PRODUCTOR (RAP)</t>
  </si>
  <si>
    <t>I.ENV.- Indicadores sobre responsabilidad ampliada del productor en materia de envases y residuos de envases.</t>
  </si>
  <si>
    <t>I.ENV.1</t>
  </si>
  <si>
    <t>Cantidad de residuos (Kg) de envases de vidrio recogidos selectivamente por habitante atendido y año en Aragón</t>
  </si>
  <si>
    <t>Conocer la evolución de la tasa de recogida por habitante y flujo de residuos</t>
  </si>
  <si>
    <t xml:space="preserve"> --</t>
  </si>
  <si>
    <t>I.ENV.2</t>
  </si>
  <si>
    <t>Cantidad de residuos de envases de papel cartón (Kg) recogidos selectivamente por habitante atendido y año en Aragón.</t>
  </si>
  <si>
    <t>I.ENV.3</t>
  </si>
  <si>
    <t>Cantidad de residuos de envases ligeros (Kg) recogidos selectivamente por habitante atendido y año en Aragón.</t>
  </si>
  <si>
    <t>I.MED.- Indicadores sobre responsabilidad ampliada del productor en materia de envases de medicamentos.</t>
  </si>
  <si>
    <t>I.MED.1</t>
  </si>
  <si>
    <t>% de residuos envases farmaceuticos recogidos de manera selectiva anualmente sobre las cantidades de envases farmaceuticos puestos en el mercado de Aragón</t>
  </si>
  <si>
    <t>Conocer la gestión realizada en este tipo de residuos y la evolución anual de su recogida selectiva.</t>
  </si>
  <si>
    <t>I.FIT.- Indicadores sobre responsabilidad ampliada del productor en materia de envases fitosanitarios.</t>
  </si>
  <si>
    <t>I.FIT.1</t>
  </si>
  <si>
    <t>% de residuos envases fitosanitarios recogidos de manera selectiva anualmente sobre las cantidades de envases fitosanitarios puestos en el mercado de Aragón</t>
  </si>
  <si>
    <t xml:space="preserve">I.PAB.- Indicadores sobre responsabilidad ampliada del productor en materia de residuos de pilas y acumuladores. </t>
  </si>
  <si>
    <t>I.PAB.1</t>
  </si>
  <si>
    <r>
      <t xml:space="preserve">% de residuos de pilas y acumuladores </t>
    </r>
    <r>
      <rPr>
        <b/>
        <sz val="9"/>
        <rFont val="Arial"/>
        <family val="2"/>
      </rPr>
      <t xml:space="preserve">portátiles </t>
    </r>
    <r>
      <rPr>
        <sz val="9"/>
        <rFont val="Arial"/>
        <family val="2"/>
      </rPr>
      <t>recogidos de manera selectiva anualmente sobre las cantidades de pilas y acumuladores portátiles puestas en el mercado de Aragón.</t>
    </r>
  </si>
  <si>
    <t>RD 106/2008- Art.15.2 objetivo "a" y "b" y RD 710/2015 que lo modifica (modificacion Art.15, nueva letra "c")</t>
  </si>
  <si>
    <t>50% a partir del 31 de diciembre de 2020</t>
  </si>
  <si>
    <t>No</t>
  </si>
  <si>
    <t>I.PAB.2</t>
  </si>
  <si>
    <r>
      <t xml:space="preserve">% de residuos de pilas y acumuladores de </t>
    </r>
    <r>
      <rPr>
        <b/>
        <sz val="9"/>
        <rFont val="Arial"/>
        <family val="2"/>
      </rPr>
      <t xml:space="preserve">automoción </t>
    </r>
    <r>
      <rPr>
        <sz val="9"/>
        <rFont val="Arial"/>
        <family val="2"/>
      </rPr>
      <t xml:space="preserve">recogidos de manera selectiva anualmente sobre las cantidades de pilas y acumuladores de automoción puestas en venta en Aragón, el año anterior al de la recogida. </t>
    </r>
  </si>
  <si>
    <t>RD 106/2008- Art.15.3 objetivo "a" y "b" y modificaciones por RD 710/2015 ( Art.15)</t>
  </si>
  <si>
    <t>98% a partir del 31 de diciembre de 2018</t>
  </si>
  <si>
    <t>I.PAB.3</t>
  </si>
  <si>
    <r>
      <t xml:space="preserve">% de residuos de pilas, acumuladores y baterías </t>
    </r>
    <r>
      <rPr>
        <b/>
        <sz val="9"/>
        <rFont val="Arial"/>
        <family val="2"/>
      </rPr>
      <t>industriales que contengan cadmio</t>
    </r>
    <r>
      <rPr>
        <sz val="9"/>
        <rFont val="Arial"/>
        <family val="2"/>
      </rPr>
      <t xml:space="preserve"> recogidos de manera selectiva anualmente sobre las cantidades puestas en el mercado de Aragón.</t>
    </r>
  </si>
  <si>
    <t>RD 106/2008 y modificación del Art.15.4 por RD 710/2015</t>
  </si>
  <si>
    <t>98% a partir del 31 de diciembre de 2017</t>
  </si>
  <si>
    <t>n.d</t>
  </si>
  <si>
    <t>*n.d.</t>
  </si>
  <si>
    <t>*75,77%</t>
  </si>
  <si>
    <t>I.PAB.4</t>
  </si>
  <si>
    <r>
      <t>% de residuos de pilas, acumuladores y baterías</t>
    </r>
    <r>
      <rPr>
        <b/>
        <sz val="9"/>
        <rFont val="Arial"/>
        <family val="2"/>
      </rPr>
      <t xml:space="preserve"> industriales que contengan plomo</t>
    </r>
    <r>
      <rPr>
        <sz val="9"/>
        <rFont val="Arial"/>
        <family val="2"/>
      </rPr>
      <t xml:space="preserve"> recogidos de manera selectiva anualmente sobre las cantidades puestas anualmente en el mercado de Aragón.</t>
    </r>
  </si>
  <si>
    <t>RD 106/2008 y  modificación Art.15.4 por RD 710/2015</t>
  </si>
  <si>
    <t xml:space="preserve"> n.d</t>
  </si>
  <si>
    <t>SÍ</t>
  </si>
  <si>
    <t>I.PAB.5</t>
  </si>
  <si>
    <r>
      <t>% de residuos de pilas, acumuladores y baterías</t>
    </r>
    <r>
      <rPr>
        <b/>
        <sz val="9"/>
        <rFont val="Arial"/>
        <family val="2"/>
      </rPr>
      <t xml:space="preserve"> industriales que no contengan plomo ni cadmio </t>
    </r>
    <r>
      <rPr>
        <sz val="9"/>
        <rFont val="Arial"/>
        <family val="2"/>
      </rPr>
      <t>recogidos de manera selectiva anualmente sobre las cantidades puestas anualmente en el mercado de Aragón.</t>
    </r>
  </si>
  <si>
    <t>RD 106/2008- y modificación Art.15.4 por RD 710/2015</t>
  </si>
  <si>
    <t>70% a partir del 31 de diciembre de 2020</t>
  </si>
  <si>
    <t>I.PAB.6</t>
  </si>
  <si>
    <r>
      <t xml:space="preserve">% Eficiencia de reciclado de pilas o acumuladores de </t>
    </r>
    <r>
      <rPr>
        <b/>
        <sz val="9"/>
        <rFont val="Arial"/>
        <family val="2"/>
      </rPr>
      <t>plomo-ácido</t>
    </r>
  </si>
  <si>
    <t>RD 106/2008- Anexo III Parte B 3 a)</t>
  </si>
  <si>
    <t>65% a partir del 31 de diciembre de 2011</t>
  </si>
  <si>
    <t>*77,32%</t>
  </si>
  <si>
    <t>*77,39%</t>
  </si>
  <si>
    <t>*77.50%</t>
  </si>
  <si>
    <t>I.PAB.7</t>
  </si>
  <si>
    <r>
      <t>% eficiencia de reciclado de pilas y acumuladores de</t>
    </r>
    <r>
      <rPr>
        <b/>
        <sz val="9"/>
        <rFont val="Arial"/>
        <family val="2"/>
      </rPr>
      <t xml:space="preserve"> niquel cadmio</t>
    </r>
  </si>
  <si>
    <t>RD 106/2008- Anexo III Parte B 3 b)</t>
  </si>
  <si>
    <t xml:space="preserve">75% a partir del 31 de diciembre de 2011 </t>
  </si>
  <si>
    <t>*83,2%</t>
  </si>
  <si>
    <t>*82,83%</t>
  </si>
  <si>
    <t>*77,66%</t>
  </si>
  <si>
    <t>*79,05%</t>
  </si>
  <si>
    <t>I.PAB.8</t>
  </si>
  <si>
    <r>
      <t>% eficiencia de reciclado para</t>
    </r>
    <r>
      <rPr>
        <b/>
        <sz val="9"/>
        <rFont val="Arial"/>
        <family val="2"/>
      </rPr>
      <t xml:space="preserve"> el resto</t>
    </r>
    <r>
      <rPr>
        <sz val="9"/>
        <rFont val="Arial"/>
        <family val="2"/>
      </rPr>
      <t xml:space="preserve"> de pilas y acumuladores (industrial)</t>
    </r>
  </si>
  <si>
    <t>RD 106/2008- Anexo III Parte B 3 c)</t>
  </si>
  <si>
    <t>50% a partir del 31 de diciembre de 2011</t>
  </si>
  <si>
    <t>*59,85%</t>
  </si>
  <si>
    <t>*60,11%</t>
  </si>
  <si>
    <t>*59,95%</t>
  </si>
  <si>
    <t>*83,83%</t>
  </si>
  <si>
    <t>* La información disponible es parcial. Sólo puede asegurarse que el porcentaje es al menos el 12%.</t>
  </si>
  <si>
    <t>I.RAEE.- Indicadores sobre responsabilidad ampliada del productor en materia de residuos de aparatos eléctricos y electrónicos (RAEE)</t>
  </si>
  <si>
    <t>I.RAEE.1</t>
  </si>
  <si>
    <t>Cantidad, en kilos por habitante, de RAEE de uso doméstico recogidos anualmente por parte de los SRAP.</t>
  </si>
  <si>
    <t>Indicador histórico y de empleo habitual.</t>
  </si>
  <si>
    <t>I.RAEE.2</t>
  </si>
  <si>
    <t xml:space="preserve">Porcentaje en peso de la cantidad total de RAEE recogida en Aragón por los SRAP, respecto al objetivo correspondiente establecido por MITECO para Aragón. </t>
  </si>
  <si>
    <t>art. 29.3 RD110/2015 desde 2016</t>
  </si>
  <si>
    <t>100% del objetivo para Aragón publicado por el MITECO cada año</t>
  </si>
  <si>
    <t>SÏ</t>
  </si>
  <si>
    <t>I.RAEE.3</t>
  </si>
  <si>
    <t xml:space="preserve">Porcentaje en peso de la cantidad total de RAEE uso doméstico recogida en Aragón por los SRAP, respecto al objetivo correspondiente establecido por MITECO para Aragón. </t>
  </si>
  <si>
    <t>I.RAEE.4</t>
  </si>
  <si>
    <t xml:space="preserve">Porcentaje en peso de la cantidad total de RAEE uso profesional recogida en Aragón por los SRAP, respecto al objetivo correspondiente establecido por MITECO para Aragón. </t>
  </si>
  <si>
    <t>I.RAEE.5</t>
  </si>
  <si>
    <t xml:space="preserve">Porcentaje en peso de la cantidad total de RAEE de Categoría 1 recogida en Aragón por los SRAP respecto al objetivo correspondiente establecido por MITECO para Aragón. </t>
  </si>
  <si>
    <t>100% del objetivo para Aragón publicado por MITECO cada año</t>
  </si>
  <si>
    <t>I.RAEE.6</t>
  </si>
  <si>
    <t xml:space="preserve">Porcentaje den peso de la cantidad total de RAEE de Categoría 2 recogida en Aragón por los SRAP respecto al objetivo correspondiente establecido por MITECO para Aragón. </t>
  </si>
  <si>
    <t>I.RAEE.7</t>
  </si>
  <si>
    <t xml:space="preserve">Porcentaje en peso de la cantidad total de RAEE de Categoría 3 recogida en Aragón por los SRAP respecto al objetivo correspondiente establecido por MITECO para Aragón. </t>
  </si>
  <si>
    <t>I.RAEE.8</t>
  </si>
  <si>
    <t xml:space="preserve">Porcentaje en peso de la cantidad total de RAEE de Categoría 4 recogida en Aragón por los SRAP respecto al objetivo correspondiente establecido por MITECO para Aragón. </t>
  </si>
  <si>
    <t>I.RAEE.9</t>
  </si>
  <si>
    <t xml:space="preserve">Porcentaje en peso de la cantidad total de RAEE de Categoría 5 recogida en Aragón por los SIG/SCRAP, los sistemas individuales y otros canales, respecto al objetivo correspondiente establecido por MITECO para Aragón. </t>
  </si>
  <si>
    <t>I.RAEE.10</t>
  </si>
  <si>
    <t xml:space="preserve">Porcentaje en peso de la cantidad total de RAEE de Categoría 6 recogida en Aragón por los SIG/SCRAP, los sistemas individuales y otros canales,  respecto al objetivo correspondiente establecido por MITECO para Aragón. </t>
  </si>
  <si>
    <t>I.RAEE.11</t>
  </si>
  <si>
    <t xml:space="preserve">Porcentaje en peso de la cantidad total de RAEE de Categoría 7 recogida en Aragón por los SRAP respecto al objetivo correspondiente establecido por MITECO para Aragón. </t>
  </si>
  <si>
    <t>I.RAEE.12</t>
  </si>
  <si>
    <t xml:space="preserve">Porcentaje en peso de la cantidad total de RAEE de Categoría 8 (aparatos médicos) recogida en Aragón por los SIG/SCRAP, los sistemas individuales y otros canales, respecto al objetivo correspondiente establecido por MITECO para Aragón. </t>
  </si>
  <si>
    <t>I.RAEE.13</t>
  </si>
  <si>
    <t xml:space="preserve">Porcentaje en peso de la cantidad total de RAEE de Categoría 9 (instrumentos de vigilancia y control) recogida en Aragón por los SIG/SCRAP, los sistemas individuales y otros canales, respecto al objetivo correspondiente establecido por MITECO para Aragón. </t>
  </si>
  <si>
    <t>I.RAEE.14</t>
  </si>
  <si>
    <t xml:space="preserve">Porcentaje en peso de la cantidad total de RAEE de Categoría 10 (máquinas expendedoras) recogida en Aragón por los SIG/SCRAP, los sistemas individuales y otros canales, respecto al objetivo correspondiente establecido por MITECO para Aragón. </t>
  </si>
  <si>
    <t>** Para comprobar el cumplimiento del objetivo correspondiente establecido por MITECO para Aragón anualmente, se han añadido los RAEE recogidos por canales no SIG/SCRAP y los sistemas individuales (CONTAZARA).
A partir de 2019 se utilizan nuevas categorías de RAEE, no siendo coincidentes con las anteriores, por lo que no puede compararse la información entre ambos periodos.</t>
  </si>
  <si>
    <t>I.NFU.- Indicadores sobre responsabilidad ampliada del productor de neumáticos al final de su vida útil (NFU)*</t>
  </si>
  <si>
    <t>I.NFU.1</t>
  </si>
  <si>
    <t>% preparación para la reutilización de NFU (segundo uso y recauchutado) con respecto al total de NFU recogidos en Aragón</t>
  </si>
  <si>
    <t>PEMAR 2016-2022
Plan GIRA 2018-2022</t>
  </si>
  <si>
    <t xml:space="preserve"> &gt;10% en 2015
&gt;13% en 2018
&gt;15% en 2020</t>
  </si>
  <si>
    <t>I.NFU.2</t>
  </si>
  <si>
    <t>% reciclaje (valorización material) NFU con respecto al total de NFU recogidos en Aragón</t>
  </si>
  <si>
    <t>&gt;40% en 2015
&gt;42% en 2018
&gt;45% en 2020</t>
  </si>
  <si>
    <t>I.NFU.3</t>
  </si>
  <si>
    <t>% reciclaje de acero de NFU con respecto al total de NFU recogidos en Aragón</t>
  </si>
  <si>
    <t xml:space="preserve"> Sí</t>
  </si>
  <si>
    <t>I.NFU.4</t>
  </si>
  <si>
    <t>% valorización energética NFU con respecto al total de NFU recogidos en Aragón</t>
  </si>
  <si>
    <t>&gt;50% en 2015
&lt;45% en 2018
&lt;40% en 2020</t>
  </si>
  <si>
    <t>* Los datos relativos a 2016 se corresponden solo con el SIG TNU, no disponiendo de datos de SIGNUS (salvo las cantidades relativas a preparación para la reutilización).
  Los objetivos se han calculado, según marca el PEMAR, sobre los NFU recogido. Teniendo en cuenta que las cantidades puestas en el mercado no coinciden con las cantidades recogidas ni con las tratadas, el sumatorio de los porcentajes de cumplimiento de objetivos no suman el 100%.</t>
  </si>
  <si>
    <t xml:space="preserve">I.AU.- Indicadores sobre responsabilidad ampliada del productor en materia de aceites industriales usados.  </t>
  </si>
  <si>
    <t>I.AU.1</t>
  </si>
  <si>
    <t>% recuperación de aceites usados generados</t>
  </si>
  <si>
    <t>I.AU.2</t>
  </si>
  <si>
    <t>% valorización de aceites usados recuperados</t>
  </si>
  <si>
    <t>Real Decreto 679/2006 Art.8 b)</t>
  </si>
  <si>
    <t>SI</t>
  </si>
  <si>
    <t>I.AU.3</t>
  </si>
  <si>
    <t>% regeneración de aceites usados recuperados regenerables</t>
  </si>
  <si>
    <t>Real Decreto 679/2006 Art.8 c)</t>
  </si>
  <si>
    <t>I.VFU.- indicadores sobre responsabilidad ampliada del productor En materia de vehículos al final de su vida útil (VFU)</t>
  </si>
  <si>
    <t>I.VFU.1</t>
  </si>
  <si>
    <t>% preparación para la reutilización y reciclado del peso medio por vehículo al final de su vida útil y año</t>
  </si>
  <si>
    <t>RD 20/2017 Art. 8.1</t>
  </si>
  <si>
    <t xml:space="preserve">&gt;85% 
</t>
  </si>
  <si>
    <t>I.VFU.2</t>
  </si>
  <si>
    <t>% preparación para la reutilización y valorización del peso medio por vehículo al final de su vida útil y año</t>
  </si>
  <si>
    <t xml:space="preserve">&gt;95% </t>
  </si>
  <si>
    <t>I.VFU.3</t>
  </si>
  <si>
    <t xml:space="preserve">% recuperación para la preparación para la reutilización y comercialización de piezas y componentes de los vehículos por parte de los CAT sobre el peso total de los vehículos tratados anualmente </t>
  </si>
  <si>
    <t>RD 20/2017 Art. 8.2</t>
  </si>
  <si>
    <t>&gt;5% a partir de febrero 2017
 &gt;10% a partir del 1 de enero 2021  
&gt;15% a partir del 1 de enero  2026</t>
  </si>
  <si>
    <t>Exigencia de cálculo a patir de 2017</t>
  </si>
  <si>
    <t>I.RCD.- INDICADORES REFERENTES AL PROGRAMA VERTICAL DE RESIDUOS DE CONSTRUCCIÓN Y DEMOLICIÓN</t>
  </si>
  <si>
    <t>Véanse los indicadores referentes a residuos de construcción y demolición en las tablas I.P.RCD (Prevención) e I.V (Valorización)</t>
  </si>
  <si>
    <t>I.LD.- INDICADORES REFERENTES AL PROGRAMA VERTICAL DE LODOS DE DEPURACIÓN DE AGUAS RESIDUALES</t>
  </si>
  <si>
    <t>I.LD.1</t>
  </si>
  <si>
    <t>% de residuos consistentes en lodos procedentes de estaciones depuradoras de aguas residuales, medidos en toneladas en base seca, que han sido destinados a su valorización mediante aplicación agrícola</t>
  </si>
  <si>
    <t>Plan GIRA 2018-2022</t>
  </si>
  <si>
    <t>&gt; 40 %</t>
  </si>
  <si>
    <t>I.LD.2</t>
  </si>
  <si>
    <t>% de residuos consistentes en lodos procedentes de estaciones depuradoras de aguas residuales, medidos en toneladas en base seca, que han sido destinados a su eliminación en vertedero</t>
  </si>
  <si>
    <t>&lt; 7 %</t>
  </si>
  <si>
    <t>I.RP.- INDICADORES REFERENTES AL PROGRAMA VERTICAL DE RESIDUOS PELIGROSOS</t>
  </si>
  <si>
    <t>I.RP.1</t>
  </si>
  <si>
    <t>Eliminación de PCB</t>
  </si>
  <si>
    <t>RD 1378/1999</t>
  </si>
  <si>
    <t>Eliminación de PCB antes del 31 de diciembre de 2010</t>
  </si>
  <si>
    <t>Véanse además los indicadores referentes a residuos peligrosos en las tablas I.P.RP (Prevención), I.V (Valorización) e I.RAP (Responsabilidad ampliada de los productores)</t>
  </si>
  <si>
    <t>I.RA.- INDICADORES REFERENTES AL PROGRAMA VERTICAL DE RESIDUOS AGRARIOS</t>
  </si>
  <si>
    <t>Véanse los indicadores referentes a  envases fitosanitarios en la tabla I.FIT, a residuos no peligrosos en la tabla I.RNP y a residuos peligrosos en la tabla I.RP.</t>
  </si>
  <si>
    <t>I.RIE.- INDICADORES REFERENTES AL PROGRAMA VERTICAL DE RESIDUOS DE INDUSTRIAS EXTRACTIVAS</t>
  </si>
  <si>
    <t>I.RIE.1</t>
  </si>
  <si>
    <t>Superficie anual restaurada en explotaciones mineras activas (m2)</t>
  </si>
  <si>
    <t>I.RIE.2</t>
  </si>
  <si>
    <t>% superficie restaurada respecto superficie afectada por explotaciones mineras activas</t>
  </si>
  <si>
    <t>Conocer la evolución de  la superficie restaurada</t>
  </si>
  <si>
    <t>I.RNP.- INDICADORES REFERENTES AL PROGRAMA VERTICAL DE RESIDUOS NO PELIGROSOS (SIN LEGISLACIÓN ESPECÍFICA)</t>
  </si>
  <si>
    <t>Véanse los indicadores referentes a residuos no peligrosos en la tabla I.P.RNP (Prevención).</t>
  </si>
  <si>
    <t>I.BE.- INDICADORES REFERENTES AL PROGRAMA VERTICAL DE BUQUES Y EMBARCACIONES AL FINAL DE SU VIDA ÚTIL</t>
  </si>
  <si>
    <t>No se adoptan indicadores específicos de este programa</t>
  </si>
  <si>
    <t>I.RS.- INDICADORES REFERENTES AL PROGRAMA VERTICAL DE RESIDUOS SANITARIOS</t>
  </si>
  <si>
    <t>I.VE.- INDICADORES REFERENTES AL PROGRAMA DEPÓSITO DE RESIDUOS EN VERTEDEROS</t>
  </si>
  <si>
    <t>I.VE.1</t>
  </si>
  <si>
    <t>% en peso de residuos urbanos biodegradables destinados a vertedero respecto la cantidad total de residuos urbanos biodegradables generados en 1995.</t>
  </si>
  <si>
    <t>RD 646/2020 Art.8,2</t>
  </si>
  <si>
    <t xml:space="preserve">&lt; 35 % </t>
  </si>
  <si>
    <t>I.IE.- INDICADORES REFERENTES AL PROGRAMA TRASLADOS Y MOVIMIENTOS DE RESIDUOS</t>
  </si>
  <si>
    <t>I.SC.- INDICADORES REFERENTES AL PROGRAMA VERTICAL DE RESIDUOS DE SUELOS CONTAMINADOS</t>
  </si>
  <si>
    <t>I.SC.1</t>
  </si>
  <si>
    <t>% analíticas control del aire dentro de valores normativos de HCH</t>
  </si>
  <si>
    <t>Concentración de referencia (RfC) del perfil de riesgos de α -HCH (Convenio de Estocolmo)
/ valor límite ambiental de exposición diaria de γ-HCH (INSHT)</t>
  </si>
  <si>
    <t>----</t>
  </si>
  <si>
    <t>I.SC.2</t>
  </si>
  <si>
    <t>% analíticas HCH agua del protocolo de vigilancia de la calidad del agua del río Gállego dentro de valores normativos de HCH</t>
  </si>
  <si>
    <t>RD 140/2003</t>
  </si>
  <si>
    <t>I.SC.3</t>
  </si>
  <si>
    <t>relación m3 depurados vs. mm lluvia Bailín</t>
  </si>
  <si>
    <t>relación m3 depurados vs. mm lluvia Sardas</t>
  </si>
  <si>
    <t>Tabla 1.5‑1: Generación de Residuos año de referencia 2010 y valores objetivo para 2020 y 2025.</t>
  </si>
  <si>
    <t>Fuente: Dirección General de Calidad Ambiental, a partir de lo declarado en gestión controlada.</t>
  </si>
  <si>
    <t>Columna1</t>
  </si>
  <si>
    <t>Columna2</t>
  </si>
  <si>
    <t>Generación de residuos en Aragón, en el año de referencia 2010</t>
  </si>
  <si>
    <t>Generados en 2010 (toneladas)</t>
  </si>
  <si>
    <t>Objetivo 2020 (10 % &lt; 2010)</t>
  </si>
  <si>
    <t>Objetivo 2025 (13 % &lt; 2010)</t>
  </si>
  <si>
    <t>Residuos totales generados incluyendo cenizas en toneladas</t>
  </si>
  <si>
    <t>% de variación sobre 2010</t>
  </si>
  <si>
    <t>Residuos totales generados excluyendo cenizas en toneladas</t>
  </si>
  <si>
    <t xml:space="preserve">   % de variación sobre 2010</t>
  </si>
  <si>
    <t>% de cenizas sobre el total de residuos</t>
  </si>
  <si>
    <t>23,80 Incremento</t>
  </si>
  <si>
    <t>-8,23 Reducción</t>
  </si>
  <si>
    <t>11,27 Incremento</t>
  </si>
  <si>
    <t>-9,59 Reducción</t>
  </si>
  <si>
    <t>17,70 Incremento</t>
  </si>
  <si>
    <t>-14,44 Reducción</t>
  </si>
  <si>
    <t>24,40 Incremento</t>
  </si>
  <si>
    <t>-7,88 Reducción</t>
  </si>
  <si>
    <t>6,26 Incremento</t>
  </si>
  <si>
    <t>-11,39 Reducción</t>
  </si>
  <si>
    <t>26,72 Incremento</t>
  </si>
  <si>
    <t>-5,82 Reducción</t>
  </si>
  <si>
    <t>9,09 Incremento</t>
  </si>
  <si>
    <t>-6,97 Reducción</t>
  </si>
  <si>
    <t>-5,20 Reducción</t>
  </si>
  <si>
    <t>-3,73 Reducción</t>
  </si>
  <si>
    <t>-19,85 Reducción</t>
  </si>
  <si>
    <t>-5,36 Reducción</t>
  </si>
  <si>
    <t>-14,54 Reducción</t>
  </si>
  <si>
    <t>4,56 Incremento</t>
  </si>
  <si>
    <t>-10,94 Reducción</t>
  </si>
  <si>
    <t>7,46 Incremento</t>
  </si>
  <si>
    <t>Tabla 1.5‑2: Evolución de las toneladas de residuos generados en Aragón. Años 2012-2022.</t>
  </si>
  <si>
    <r>
      <t xml:space="preserve">Cantidad total de residuos generados en el año 2010 en Aragón (t) </t>
    </r>
    <r>
      <rPr>
        <i/>
        <sz val="10"/>
        <rFont val="Segoe UI"/>
        <family val="2"/>
      </rPr>
      <t>con cenizas</t>
    </r>
  </si>
  <si>
    <t>2012</t>
  </si>
  <si>
    <t>2013</t>
  </si>
  <si>
    <t>2014</t>
  </si>
  <si>
    <t>2015</t>
  </si>
  <si>
    <t>2016</t>
  </si>
  <si>
    <t>2017</t>
  </si>
  <si>
    <t>2018</t>
  </si>
  <si>
    <t>2019</t>
  </si>
  <si>
    <t>2020</t>
  </si>
  <si>
    <t>2021</t>
  </si>
  <si>
    <t>2022</t>
  </si>
  <si>
    <t>Figura  1.5‑1: Cantidad total de residuos generados/año en Aragón (t). Años 2017-2022</t>
  </si>
  <si>
    <t>Figura  1.5‑2: Evolución del indicador cuantitativo kr/kp porcentual de Aragón. 2018-2022</t>
  </si>
  <si>
    <t>Fuente: Sistemas Integrados de Gestión de envases (ECOEMBES, ECOVIDRIO y SIGRE)</t>
  </si>
  <si>
    <t>Yudigar, S.L.U.</t>
  </si>
  <si>
    <t>Tragsa S.A</t>
  </si>
  <si>
    <t>Tabla 1.5‑3: Organizaciones con Registro Europeo EMAS. Año 2022.</t>
  </si>
  <si>
    <t>2010</t>
  </si>
  <si>
    <t>2011</t>
  </si>
  <si>
    <t>Figura  1.5‑3: Generación de residuos municipales en Aragón. Años 2018 a 2022.</t>
  </si>
  <si>
    <t>Generación de fracción resto
(LER 200301) Total (t)</t>
  </si>
  <si>
    <t>Generación de fracción resto
(LER 200301) kg/hab</t>
  </si>
  <si>
    <t>Otros residuos en masa Total (t)</t>
  </si>
  <si>
    <t>Otros residuos en masa Kg/hab</t>
  </si>
  <si>
    <t>Biorresiduos 
(LER 200108) Total (t)</t>
  </si>
  <si>
    <t>Biorresiduos 
(LER 200108) Kg/hab</t>
  </si>
  <si>
    <t>Tabla 1.5‑4: Residuos municipales: Fracción resto (200301, biorresiduos (200108) y otros recogidos en masa en Aragón. Año 2022.</t>
  </si>
  <si>
    <t>Figura  1.5‑5:  Principales infraestructuras existentes para la gestión de residuos domésticos. Año 2022.</t>
  </si>
  <si>
    <t>Fuente: Fuente: Dirección General de Calidad Ambiental</t>
  </si>
  <si>
    <r>
      <t>Recogido / generado (t)</t>
    </r>
    <r>
      <rPr>
        <vertAlign val="superscript"/>
        <sz val="8"/>
        <rFont val="Segoe UI"/>
        <family val="2"/>
      </rPr>
      <t xml:space="preserve"> (1)</t>
    </r>
  </si>
  <si>
    <t>(1) La suma de lo recogido en las agrupaciones no coincide con el indicado en la figura 1.5.3 debido a que de acuerdo a la metodología de cálculo establecida por el Ministerio no deben contabilizarse todas las fracciones en el objetivo de preparación para la reutilización y reciclado.</t>
  </si>
  <si>
    <t>Tabla 1.5‑5: Cumplimiento de objetivos. Porcentaje de preparación para la reutilización y reciclado de residuos municipales según criterios MITERD. Año 2022.</t>
  </si>
  <si>
    <r>
      <t xml:space="preserve">Residuos químicos </t>
    </r>
    <r>
      <rPr>
        <b/>
        <sz val="8"/>
        <rFont val="Segoe UI"/>
        <family val="2"/>
      </rPr>
      <t>20.01.13* 20.01.14* 20.01.15* 20.01.17* 20.01.19* 20.01.27* 20.01.28 20.01.29* 20.01.30</t>
    </r>
  </si>
  <si>
    <t>Tabla 1.5‑6: Recogida selectiva de residuos domésticos y comerciales en puntos limpios (t). Año 2022.</t>
  </si>
  <si>
    <t>Tabla 1.5‑7: Sistemas integrados de Gestión (SIG) de residuos domésticos y comerciales autorizados en Aragón. Año 2022.</t>
  </si>
  <si>
    <t>Tabla 1.5‑8: Recogida de vidrio en contenedores de Aragón. Año 2022.</t>
  </si>
  <si>
    <t>Fuente: Fuente: ECOVIDRIO y Comarca Campo de Borja. Elaborado por la Dirección General de Calidad Ambiental</t>
  </si>
  <si>
    <t>Tabla 1.5‑9: Recogida de vidrio en contenedores por Agrupaciones en Aragón. Año 2022</t>
  </si>
  <si>
    <t>2002</t>
  </si>
  <si>
    <t>2003</t>
  </si>
  <si>
    <t>2004</t>
  </si>
  <si>
    <t>2005</t>
  </si>
  <si>
    <t>2006</t>
  </si>
  <si>
    <t>2007</t>
  </si>
  <si>
    <t>2008</t>
  </si>
  <si>
    <t>2009</t>
  </si>
  <si>
    <t>Figura  1.5‑6: Evolución de la recogida de vidrio en contenedores en Aragón. Años 2018-2022.</t>
  </si>
  <si>
    <r>
      <rPr>
        <sz val="10"/>
        <rFont val="Segoe UI"/>
        <family val="2"/>
      </rPr>
      <t>Habitantes atendidos</t>
    </r>
    <r>
      <rPr>
        <vertAlign val="superscript"/>
        <sz val="10"/>
        <rFont val="Segoe UI"/>
        <family val="2"/>
      </rPr>
      <t xml:space="preserve"> (*)</t>
    </r>
  </si>
  <si>
    <r>
      <rPr>
        <sz val="10"/>
        <rFont val="Segoe UI"/>
        <family val="2"/>
      </rPr>
      <t>Capacidad total de contenedores instalados (m</t>
    </r>
    <r>
      <rPr>
        <vertAlign val="superscript"/>
        <sz val="10"/>
        <rFont val="Segoe UI"/>
        <family val="2"/>
      </rPr>
      <t>3</t>
    </r>
    <r>
      <rPr>
        <sz val="10"/>
        <rFont val="Segoe UI"/>
        <family val="2"/>
      </rPr>
      <t>)</t>
    </r>
  </si>
  <si>
    <t>Tabla 1.5‑10: Recogida de papel-cartón en contenedores en Aragón. Año 2022</t>
  </si>
  <si>
    <t>Tabla 1.5‑11: Recogida de papel-cartón por agrupaciones en Aragón. Año 2022.</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</si>
  <si>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</si>
  <si>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</si>
  <si>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</si>
  <si>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</si>
  <si>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</si>
  <si>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</si>
  <si>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</si>
  <si>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</si>
  <si>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</si>
  <si>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</si>
  <si>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</si>
  <si>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</si>
  <si>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</si>
  <si>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</si>
  <si>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</si>
  <si>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</si>
  <si>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</si>
  <si>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</si>
  <si>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</si>
  <si>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</si>
  <si>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</si>
  <si>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</si>
  <si>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Figura  1.5‑8: Evolución de la recogida de papel-cartón en contenedores en Aragón. Años 2018-2022.</t>
  </si>
  <si>
    <r>
      <rPr>
        <sz val="10"/>
        <rFont val="Segoe UI"/>
        <family val="2"/>
      </rPr>
      <t>Capacidad total de contenedores instalados (m</t>
    </r>
    <r>
      <rPr>
        <vertAlign val="superscript"/>
        <sz val="10"/>
        <rFont val="Segoe UI"/>
        <family val="2"/>
      </rPr>
      <t>3</t>
    </r>
    <r>
      <rPr>
        <sz val="10"/>
        <rFont val="Segoe UI"/>
        <family val="2"/>
      </rPr>
      <t xml:space="preserve">) </t>
    </r>
  </si>
  <si>
    <t>Tabla 1.5‑12: Recogida de envases ligeros en contenedores en Aragón. Año 2022.</t>
  </si>
  <si>
    <t>Tabla 1.5‑13: Datos recogida de envases ligeros en contenedores por agrupaciones en Aragón. Año 2022.</t>
  </si>
  <si>
    <t>Figura  1.5‑11: Evolución de la recogida de envases ligeros en contenedores en Aragón. Años 2018-2022.</t>
  </si>
  <si>
    <t>Tipo de recuperación</t>
  </si>
  <si>
    <t>Tabla 1.5‑14: Recuperación de materiales procedentes de envases ligeros y envases de papel cartón en Aragón. Año 2022.</t>
  </si>
  <si>
    <t>Fuente: Ecoembalajes España, S.A.</t>
  </si>
  <si>
    <t>Tabla 1.5‑15: Distribución de puntos SIGRE en Aragón. Año 2022.</t>
  </si>
  <si>
    <t>Figura  1.5‑12: Evolución de la recogida de envases farmacéuticos. Años 2018-2022.</t>
  </si>
  <si>
    <t>Fuente: SIGRE. Elaborado por la Dirección General de Calidad Ambiental.</t>
  </si>
  <si>
    <t>Tabla 1.5‑16: Cantidad de residuos no peligrosos producidos en Aragón por códigos LER. Año 2022.</t>
  </si>
  <si>
    <t xml:space="preserve"> LER 17</t>
  </si>
  <si>
    <t xml:space="preserve"> LER 03</t>
  </si>
  <si>
    <t xml:space="preserve"> LER 20</t>
  </si>
  <si>
    <t xml:space="preserve"> LER 19</t>
  </si>
  <si>
    <t xml:space="preserve"> LER 02</t>
  </si>
  <si>
    <t xml:space="preserve"> LER 12</t>
  </si>
  <si>
    <t xml:space="preserve"> LER 15</t>
  </si>
  <si>
    <t>Figura  1.5‑13: Principales residuos no peligrosos producidos en Aragón con código LER. Año 2022.</t>
  </si>
  <si>
    <t>Fuente: Dirección General de Calidad Ambiental.</t>
  </si>
  <si>
    <t>Tabla 1.5‑17: Productores registrados y gestores de residuos no peligrosos autorizados (GNPA) y registrados (GNPR). Año 2022.</t>
  </si>
  <si>
    <t>Origen</t>
  </si>
  <si>
    <t>Tabla 1.5‑18: Gestión de residuos no peligrosos. Año 2022.</t>
  </si>
  <si>
    <t>Figura  1.5‑14: Evolución de la producción de lodos de EDAR en Aragón. Años 2018-2022</t>
  </si>
  <si>
    <t>Tabla 1.5‑19: Destinos de los lodos de EDAR en Aragón. Año 2022.</t>
  </si>
  <si>
    <t>Figura  1.5‑15: Evolución de la eliminación de residuos industriales no peligrosos por el servicio público. Años 2018-2022.</t>
  </si>
  <si>
    <t>Cantidad (t) 2016</t>
  </si>
  <si>
    <t>Cantidad (t) 2017</t>
  </si>
  <si>
    <t>Cantidad (t) 2018</t>
  </si>
  <si>
    <t>Cantidad (t) 2019</t>
  </si>
  <si>
    <t>Cantidad (t) 2020</t>
  </si>
  <si>
    <t>Cantidad (t) 2021</t>
  </si>
  <si>
    <t>Cantidad (t) 2022</t>
  </si>
  <si>
    <t xml:space="preserve"> % 2016</t>
  </si>
  <si>
    <t xml:space="preserve"> % 2017</t>
  </si>
  <si>
    <t xml:space="preserve"> % 2018</t>
  </si>
  <si>
    <t xml:space="preserve"> % 2019</t>
  </si>
  <si>
    <t xml:space="preserve"> % 2020</t>
  </si>
  <si>
    <t xml:space="preserve"> % 2021</t>
  </si>
  <si>
    <t xml:space="preserve"> % 2022</t>
  </si>
  <si>
    <t>Tabla 1.5‑20: Principales residuos industriales no peligrosos expresados en toneladas y porcentaje gestionados por el servicio público. Serie 2018-2022.</t>
  </si>
  <si>
    <t>Figura  1.5‑16: Residuos de construcción y demolición no peligrosos gestionados en Aragón (LER Capítulo 17). Año 2022.</t>
  </si>
  <si>
    <t>Tabla 1.5‑21: Gestión de escombros. Año 2022</t>
  </si>
  <si>
    <t>2016 (t)</t>
  </si>
  <si>
    <t>2017 (t)</t>
  </si>
  <si>
    <t>2018 (t)</t>
  </si>
  <si>
    <t>2019 (t)</t>
  </si>
  <si>
    <t>2020 (t)</t>
  </si>
  <si>
    <t>2021 (t)</t>
  </si>
  <si>
    <t>2022 (t)</t>
  </si>
  <si>
    <t>Figura  1.5‑17: Cantidades Gestionadas por el servicio público de valorización y eliminación de escombros. Evolución 2018-2022.</t>
  </si>
  <si>
    <t>Figura  1.5‑18: Distribución de residuos gestionados en el servicio público por código LER (excepto tierras y piedras). Año 2022.</t>
  </si>
  <si>
    <t>Productor o gestor</t>
  </si>
  <si>
    <t>Cantidad</t>
  </si>
  <si>
    <t>Tabla 1.5‑24: Gestión de residuos peligrosos en Aragón por tipo de gestión. Año 2022.</t>
  </si>
  <si>
    <t>Producidos en el resto de España</t>
  </si>
  <si>
    <t>Tabla 1.5‑25: Gestión de residuos peligrosos en Aragón por origen. Año 2022.</t>
  </si>
  <si>
    <t>Figura  1.5‑19: Gestión de residuos peligrosos en Aragón. Año 2022</t>
  </si>
  <si>
    <t>Tabla 1.5‑26: Recogida de residuos de aparatos eléctricos y electrónicos (RAEE) de usos doméstico (1) y profesional por los sistemas de responsabilidad ampliada del productor (2) y totales (3). Año 2022.</t>
  </si>
  <si>
    <t>RESIDUOS DOMÉSTICOS (1)</t>
  </si>
  <si>
    <t>RESIDUOS PROFESIONALES (2)</t>
  </si>
  <si>
    <t>RESIDUOS TOTAL (3)</t>
  </si>
  <si>
    <t>Columna3</t>
  </si>
  <si>
    <t>Tabla 1.5‑27: Tratamiento de residuos de aparatos eléctricos y electrónicos (RAEE) de los recogidos por los SCRAP y sistemas individuales en Aragón. Ejercicio 2022.</t>
  </si>
  <si>
    <t>Figura  1.5‑20: Tratamiento de Residuos de Aparatos Eléctricos y Electrónicos (RAEE) de los recogidos por los SCRAP y sistemas individuales en Aragón. Ejercicio 2022.</t>
  </si>
  <si>
    <t>Figura  1.5‑21: Evolución de la recogida de RAEE en Aragón por parte de los SCRAP. Años 2018-2022.</t>
  </si>
  <si>
    <t>Tabla 1.5‑28: Recogida selectiva de pilas, acumuladores y baterías portátiles en Aragón. Año 2022.</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</si>
  <si>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</si>
  <si>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</si>
  <si>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</si>
  <si>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</si>
  <si>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</si>
  <si>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</si>
  <si>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</si>
  <si>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</si>
  <si>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</si>
  <si>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</si>
  <si>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</si>
  <si>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</si>
  <si>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</si>
  <si>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</si>
  <si>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</si>
  <si>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</si>
  <si>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Figura  1.5‑22: Evolución de la recogida selectiva de pilas, acumuladores y baterías portátiles. Años 2018-2022.</t>
  </si>
  <si>
    <t>Tabla 1.5‑29: Recogida de envases fitosanitarios en Aragón. Año 2022.</t>
  </si>
  <si>
    <t>Figura  1.5‑23: Cantidad de residuos de envases fitosanitarios recogidos en Aragón. Años 2018-2022.</t>
  </si>
  <si>
    <t>Tabla 1.5‑30: Recogida de neumáticos al final de su vida útil (NFU) por parte de los SIG. Año 2022.</t>
  </si>
  <si>
    <t>Figura  1.5‑24: Evolución de la recogida selectiva de NFU. Años 2018-2022.</t>
  </si>
  <si>
    <t>Tabla 1.5‑31: Centros autorizados para el tratamiento (CAT) de vehículos al final de su vida útil (VFU). Año 2022</t>
  </si>
  <si>
    <t>Figura  1.5‑25: Certificados de destrucción de vehículos al final de su vida útil (VFU). Años 2018-2022.</t>
  </si>
  <si>
    <r>
      <t xml:space="preserve">Memorias SIG </t>
    </r>
    <r>
      <rPr>
        <sz val="6"/>
        <color rgb="FFFF0000"/>
        <rFont val="Segoe UI"/>
        <family val="2"/>
      </rPr>
      <t>(considerando un 40% de envases de papel-cartón en el contenedor azul)</t>
    </r>
  </si>
  <si>
    <r>
      <t>Cantidad de</t>
    </r>
    <r>
      <rPr>
        <b/>
        <sz val="7"/>
        <rFont val="Segoe UI"/>
        <family val="2"/>
      </rPr>
      <t xml:space="preserve"> </t>
    </r>
    <r>
      <rPr>
        <sz val="7"/>
        <rFont val="Segoe UI"/>
        <family val="2"/>
      </rPr>
      <t>residuos de envases de vidrio</t>
    </r>
    <r>
      <rPr>
        <b/>
        <sz val="7"/>
        <rFont val="Segoe UI"/>
        <family val="2"/>
      </rPr>
      <t xml:space="preserve"> </t>
    </r>
    <r>
      <rPr>
        <sz val="7"/>
        <rFont val="Segoe UI"/>
        <family val="2"/>
      </rPr>
      <t>recogidos anualmente de forma selectiva en contenedores en Aragón</t>
    </r>
  </si>
  <si>
    <r>
      <t>Cantidad de</t>
    </r>
    <r>
      <rPr>
        <b/>
        <sz val="7"/>
        <rFont val="Segoe UI"/>
        <family val="2"/>
      </rPr>
      <t xml:space="preserve"> </t>
    </r>
    <r>
      <rPr>
        <sz val="7"/>
        <rFont val="Segoe UI"/>
        <family val="2"/>
      </rPr>
      <t xml:space="preserve"> papel-cartón recuperado procedente de envases ligeros y de papel cartón en Aragón.</t>
    </r>
  </si>
  <si>
    <r>
      <t>Cantidad de</t>
    </r>
    <r>
      <rPr>
        <b/>
        <sz val="7"/>
        <rFont val="Segoe UI"/>
        <family val="2"/>
      </rPr>
      <t xml:space="preserve"> </t>
    </r>
    <r>
      <rPr>
        <sz val="7"/>
        <rFont val="Segoe UI"/>
        <family val="2"/>
      </rPr>
      <t xml:space="preserve"> metal recuperado procedente de envases ligeros y de papel cartón en Aragón.</t>
    </r>
  </si>
  <si>
    <r>
      <t>Cantidad de</t>
    </r>
    <r>
      <rPr>
        <b/>
        <sz val="7"/>
        <rFont val="Segoe UI"/>
        <family val="2"/>
      </rPr>
      <t xml:space="preserve"> </t>
    </r>
    <r>
      <rPr>
        <sz val="7"/>
        <rFont val="Segoe UI"/>
        <family val="2"/>
      </rPr>
      <t>plástico</t>
    </r>
    <r>
      <rPr>
        <b/>
        <sz val="7"/>
        <rFont val="Segoe UI"/>
        <family val="2"/>
      </rPr>
      <t xml:space="preserve"> </t>
    </r>
    <r>
      <rPr>
        <sz val="7"/>
        <rFont val="Segoe UI"/>
        <family val="2"/>
      </rPr>
      <t>recuperada procedente de envases ligeros y de papel cartón en Aragón.</t>
    </r>
  </si>
  <si>
    <r>
      <t>Cantidad de madera</t>
    </r>
    <r>
      <rPr>
        <b/>
        <sz val="7"/>
        <rFont val="Segoe UI"/>
        <family val="2"/>
      </rPr>
      <t xml:space="preserve"> </t>
    </r>
    <r>
      <rPr>
        <sz val="7"/>
        <rFont val="Segoe UI"/>
        <family val="2"/>
      </rPr>
      <t>recuperado procedente de envases ligeros y de papel cartón en Aragón.</t>
    </r>
  </si>
  <si>
    <r>
      <t xml:space="preserve">Cantidad en toneladas, de pilas y acumuladores portátiles </t>
    </r>
    <r>
      <rPr>
        <b/>
        <sz val="7"/>
        <rFont val="Segoe UI"/>
        <family val="2"/>
      </rPr>
      <t>puesta en el mercado (PEM)</t>
    </r>
    <r>
      <rPr>
        <sz val="7"/>
        <rFont val="Segoe UI"/>
        <family val="2"/>
      </rPr>
      <t xml:space="preserve"> en Aragón por parte de los productores (extrapolación a Aragón en función de D.PAB.1), siguiendo el esquema del ANEXO I del RD 710/2015</t>
    </r>
  </si>
  <si>
    <r>
      <t>Cantidad de pilas y acumuladores de automoción</t>
    </r>
    <r>
      <rPr>
        <b/>
        <sz val="7"/>
        <color indexed="10"/>
        <rFont val="Segoe UI"/>
        <family val="2"/>
      </rPr>
      <t xml:space="preserve"> </t>
    </r>
    <r>
      <rPr>
        <b/>
        <sz val="7"/>
        <rFont val="Segoe UI"/>
        <family val="2"/>
      </rPr>
      <t>vendidos a los usuarios</t>
    </r>
    <r>
      <rPr>
        <sz val="7"/>
        <rFont val="Segoe UI"/>
        <family val="2"/>
      </rPr>
      <t xml:space="preserve"> en Aragón el año precedente al de la recogida, (extrapolación a Aragón en función de D.PAB.2)</t>
    </r>
  </si>
  <si>
    <r>
      <t>Cantidad de pilas y acumuladores industriales con Cadmio</t>
    </r>
    <r>
      <rPr>
        <b/>
        <sz val="7"/>
        <rFont val="Segoe UI"/>
        <family val="2"/>
      </rPr>
      <t xml:space="preserve"> puesta en el mercado</t>
    </r>
    <r>
      <rPr>
        <sz val="7"/>
        <rFont val="Segoe UI"/>
        <family val="2"/>
      </rPr>
      <t xml:space="preserve"> en Aragón por parte de los productores (extrapolación a Aragón en función de D.PAB.3), siguiendo el esquema del ANEXO I del RD 710/2015</t>
    </r>
  </si>
  <si>
    <r>
      <t>Cantidad de</t>
    </r>
    <r>
      <rPr>
        <b/>
        <sz val="7"/>
        <rFont val="Segoe UI"/>
        <family val="2"/>
      </rPr>
      <t xml:space="preserve"> </t>
    </r>
    <r>
      <rPr>
        <sz val="7"/>
        <rFont val="Segoe UI"/>
        <family val="2"/>
      </rPr>
      <t>residuos de pilas y acumuladores portátiles</t>
    </r>
    <r>
      <rPr>
        <b/>
        <sz val="7"/>
        <rFont val="Segoe UI"/>
        <family val="2"/>
      </rPr>
      <t xml:space="preserve"> recogidos</t>
    </r>
    <r>
      <rPr>
        <sz val="7"/>
        <rFont val="Segoe UI"/>
        <family val="2"/>
      </rPr>
      <t xml:space="preserve"> anualmente, sin especificar las operaciones de gestión a las que se destinen</t>
    </r>
  </si>
  <si>
    <r>
      <t>Cantidad de</t>
    </r>
    <r>
      <rPr>
        <b/>
        <sz val="7"/>
        <rFont val="Segoe UI"/>
        <family val="2"/>
      </rPr>
      <t xml:space="preserve"> </t>
    </r>
    <r>
      <rPr>
        <sz val="7"/>
        <rFont val="Segoe UI"/>
        <family val="2"/>
      </rPr>
      <t>residuos de pilas y acumuladores de automoción</t>
    </r>
    <r>
      <rPr>
        <b/>
        <sz val="7"/>
        <rFont val="Segoe UI"/>
        <family val="2"/>
      </rPr>
      <t xml:space="preserve"> recogidos</t>
    </r>
    <r>
      <rPr>
        <sz val="7"/>
        <rFont val="Segoe UI"/>
        <family val="2"/>
      </rPr>
      <t xml:space="preserve"> anualmente en Aragón, sin especificar las operaciones de gestión a las que se destinen</t>
    </r>
  </si>
  <si>
    <r>
      <t>Cantidad de</t>
    </r>
    <r>
      <rPr>
        <b/>
        <sz val="7"/>
        <rFont val="Segoe UI"/>
        <family val="2"/>
      </rPr>
      <t xml:space="preserve"> </t>
    </r>
    <r>
      <rPr>
        <sz val="7"/>
        <rFont val="Segoe UI"/>
        <family val="2"/>
      </rPr>
      <t>residuos de pilas y acumuladores industriales que contengan cadmio,</t>
    </r>
    <r>
      <rPr>
        <b/>
        <sz val="7"/>
        <rFont val="Segoe UI"/>
        <family val="2"/>
      </rPr>
      <t xml:space="preserve"> recogidos</t>
    </r>
    <r>
      <rPr>
        <sz val="7"/>
        <rFont val="Segoe UI"/>
        <family val="2"/>
      </rPr>
      <t xml:space="preserve"> anualmente sin especificar las operaciones de gestión a las que se destinen.</t>
    </r>
  </si>
  <si>
    <t>Cantidad de aceite industrial usado recuperado (recogido) por parte de los SIG</t>
  </si>
  <si>
    <t>Cantidad de aceite industrial usado valorizado por parte de los SIG</t>
  </si>
  <si>
    <r>
      <t>Cantidad de aceite industrial usado regenerado</t>
    </r>
    <r>
      <rPr>
        <sz val="7"/>
        <color rgb="FFFF0000"/>
        <rFont val="Segoe UI"/>
        <family val="2"/>
      </rPr>
      <t xml:space="preserve"> </t>
    </r>
    <r>
      <rPr>
        <sz val="7"/>
        <rFont val="Segoe UI"/>
        <family val="2"/>
      </rPr>
      <t>por parte de los SIG</t>
    </r>
  </si>
  <si>
    <r>
      <t>m</t>
    </r>
    <r>
      <rPr>
        <vertAlign val="superscript"/>
        <sz val="7"/>
        <rFont val="Segoe UI"/>
        <family val="2"/>
      </rPr>
      <t xml:space="preserve">3 </t>
    </r>
    <r>
      <rPr>
        <sz val="7"/>
        <rFont val="Segoe UI"/>
        <family val="2"/>
      </rPr>
      <t>depurados en Sardas</t>
    </r>
  </si>
  <si>
    <r>
      <t>m</t>
    </r>
    <r>
      <rPr>
        <vertAlign val="superscript"/>
        <sz val="7"/>
        <rFont val="Segoe UI"/>
        <family val="2"/>
      </rPr>
      <t>3</t>
    </r>
    <r>
      <rPr>
        <sz val="7"/>
        <rFont val="Segoe UI"/>
        <family val="2"/>
      </rPr>
      <t xml:space="preserve"> depurados en Bailín</t>
    </r>
  </si>
  <si>
    <t>Tablas 1.5-50 a 70: Indicadores compuestos o sintéticos sobre gestión de residuos en Aragón. Años 2012-2022.</t>
  </si>
  <si>
    <t>Tablas 1.5-31 a 49de indicadores no compuestos (basados en datos proporcionados por la fuente que se referencia) sobre gestión de residuos en Aragón. Años 2012-2022.</t>
  </si>
  <si>
    <t>Índice</t>
  </si>
  <si>
    <t>Fuente</t>
  </si>
  <si>
    <t>Tabla 1.5‑23: Cantidad de residuos peligrosos producidos en Aragón por código LER. Año 2022.</t>
  </si>
  <si>
    <t>Tabla 1.5‑22: Número de productores, pequeños productores y gestores de residuos peligros. Año 2022.</t>
  </si>
  <si>
    <t>ir a índice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</si>
</sst>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64" formatCode="_([$€]* #,##0.00_);_([$€]* \(#,##0.00\);_([$€]* \-??_);_(@_)"/>
    <numFmt numFmtId="165" formatCode="_-* #,##0.00\ [$€]_-;\-* #,##0.00\ [$€]_-;_-* \-??\ [$€]_-;_-@_-"/>
    <numFmt numFmtId="166" formatCode="_-* #,##0.00\ _P_t_s_-;\-* #,##0.00\ _P_t_s_-;_-* \-??\ _P_t_s_-;_-@_-"/>
    <numFmt numFmtId="167" formatCode="_-* #,##0.00\ _€_-;\-* #,##0.00\ _€_-;_-* \-??\ _€_-;_-@_-"/>
    <numFmt numFmtId="168" formatCode="_-* #,##0.00\ _p_t_a_-;\-* #,##0.00\ _p_t_a_-;_-* \-??\ _p_t_a_-;_-@_-"/>
    <numFmt numFmtId="169" formatCode="_-* #,##0\ _€_-;\-* #,##0\ _€_-;_-* &quot;- &quot;_€_-;_-@_-"/>
    <numFmt numFmtId="170" formatCode="_-* #,##0\ _P_t_s_-;\-* #,##0\ _P_t_s_-;_-* &quot;- &quot;_P_t_s_-;_-@_-"/>
    <numFmt numFmtId="171" formatCode="0\ %"/>
    <numFmt numFmtId="172" formatCode="0.00\ %"/>
    <numFmt numFmtId="173" formatCode="#,##0.0"/>
    <numFmt numFmtId="174" formatCode="0.0"/>
    <numFmt numFmtId="175" formatCode="_-* #,##0\ _€_-;\-* #,##0\ _€_-;_-* \-??\ _€_-;_-@_-"/>
    <numFmt numFmtId="176" formatCode="0.000"/>
    <numFmt numFmtId="177" formatCode="0.0%"/>
    <numFmt numFmtId="178" formatCode="#,##0_ ;\-#,##0\ "/>
    <numFmt numFmtId="179" formatCode="_-* #,##0.0\ _€_-;\-* #,##0.0\ _€_-;_-* \-??\ _€_-;_-@_-"/>
    <numFmt numFmtId="180" formatCode="0_ ;\-0\ "/>
    <numFmt numFmtId="181" formatCode="_-* #,##0\ _P_t_s_-;\-* #,##0\ _P_t_s_-;_-* \-??\ _P_t_s_-;_-@_-"/>
    <numFmt numFmtId="182" formatCode="_-* #,##0.0\ _€_-;\-* #,##0.0\ _€_-;_-* \-?\ _€_-;_-@_-"/>
    <numFmt numFmtId="183" formatCode="#,##0.000"/>
    <numFmt numFmtId="184" formatCode="_-* #,##0\ _P_t_s_-;\-* #,##0\ _P_t_s_-;_-* &quot;-&quot;??\ _P_t_s_-;_-@_-"/>
    <numFmt numFmtId="185" formatCode="#,##0.0000_ ;\-#,##0.0000\ "/>
    <numFmt numFmtId="186" formatCode="0.0\ %"/>
    <numFmt numFmtId="187" formatCode="#,##0.0_ ;[Red]\-#,##0.0\ "/>
    <numFmt numFmtId="188" formatCode="_-* #,##0.0\ _P_t_s_-;\-* #,##0.0\ _P_t_s_-;_-* \-??\ _P_t_s_-;_-@_-"/>
    <numFmt numFmtId="189" formatCode="_-* #,##0.0\ _€_-;\-* #,##0.0\ _€_-;_-* &quot;-&quot;?\ _€_-;_-@_-"/>
    <numFmt numFmtId="190" formatCode="_-* #,##0\ _€_-;\-* #,##0\ _€_-;_-* &quot;-&quot;??\ _€_-;_-@_-"/>
  </numFmts>
  <fonts count="111" x14ac:knownFonts="1">
    <font>
      <sz val="10"/>
      <name val="Segoe UI"/>
      <family val="2"/>
    </font>
    <font>
      <sz val="9"/>
      <name val="Arial"/>
      <family val="2"/>
    </font>
    <font>
      <sz val="10"/>
      <color indexed="8"/>
      <name val="Arial"/>
      <family val="2"/>
    </font>
    <font>
      <sz val="12"/>
      <name val="Arial"/>
      <family val="2"/>
    </font>
    <font>
      <sz val="10"/>
      <name val="Arial"/>
      <family val="2"/>
    </font>
    <font>
      <sz val="11"/>
      <color indexed="8"/>
      <name val="Calibri"/>
      <family val="2"/>
    </font>
    <font>
      <b/>
      <i/>
      <sz val="11"/>
      <color indexed="8"/>
      <name val="Times New Roman"/>
      <family val="1"/>
    </font>
    <font>
      <b/>
      <sz val="11"/>
      <color indexed="16"/>
      <name val="Times New Roman"/>
      <family val="1"/>
    </font>
    <font>
      <b/>
      <sz val="10"/>
      <name val="Arial"/>
      <family val="2"/>
    </font>
    <font>
      <b/>
      <sz val="10"/>
      <color indexed="10"/>
      <name val="Arial"/>
      <family val="2"/>
    </font>
    <font>
      <sz val="11"/>
      <name val="Arial"/>
      <family val="2"/>
    </font>
    <font>
      <u/>
      <sz val="10"/>
      <color indexed="12"/>
      <name val="Arial"/>
      <family val="2"/>
    </font>
    <font>
      <sz val="10"/>
      <color indexed="10"/>
      <name val="Arial"/>
      <family val="2"/>
    </font>
    <font>
      <sz val="8"/>
      <name val="Arial"/>
      <family val="2"/>
    </font>
    <font>
      <b/>
      <sz val="9"/>
      <name val="Arial"/>
      <family val="2"/>
    </font>
    <font>
      <b/>
      <sz val="8"/>
      <name val="Arial"/>
      <family val="2"/>
    </font>
    <font>
      <sz val="12"/>
      <color indexed="8"/>
      <name val="Arial"/>
      <family val="2"/>
    </font>
    <font>
      <vertAlign val="superscript"/>
      <sz val="10"/>
      <name val="Arial"/>
      <family val="2"/>
    </font>
    <font>
      <b/>
      <sz val="10"/>
      <color indexed="8"/>
      <name val="Arial"/>
      <family val="2"/>
    </font>
    <font>
      <b/>
      <sz val="10"/>
      <color indexed="8"/>
      <name val="Century Gothic"/>
      <family val="2"/>
    </font>
    <font>
      <sz val="7"/>
      <name val="Arial"/>
      <family val="2"/>
    </font>
    <font>
      <sz val="9"/>
      <color indexed="10"/>
      <name val="Arial"/>
      <family val="2"/>
    </font>
    <font>
      <sz val="10"/>
      <color indexed="17"/>
      <name val="Arial"/>
      <family val="2"/>
    </font>
    <font>
      <b/>
      <sz val="9"/>
      <color indexed="9"/>
      <name val="Arial"/>
      <family val="2"/>
    </font>
    <font>
      <b/>
      <sz val="7"/>
      <color indexed="9"/>
      <name val="Arial"/>
      <family val="2"/>
    </font>
    <font>
      <sz val="9"/>
      <color indexed="17"/>
      <name val="Arial"/>
      <family val="2"/>
    </font>
    <font>
      <b/>
      <sz val="9"/>
      <color indexed="10"/>
      <name val="Arial"/>
      <family val="2"/>
    </font>
    <font>
      <sz val="9"/>
      <color indexed="53"/>
      <name val="Arial"/>
      <family val="2"/>
    </font>
    <font>
      <sz val="6"/>
      <color indexed="10"/>
      <name val="Arial"/>
      <family val="2"/>
    </font>
    <font>
      <sz val="10"/>
      <name val="Arial"/>
      <family val="2"/>
    </font>
    <font>
      <sz val="9"/>
      <color indexed="81"/>
      <name val="Tahoma"/>
      <family val="2"/>
    </font>
    <font>
      <b/>
      <sz val="9"/>
      <color indexed="81"/>
      <name val="Tahoma"/>
      <family val="2"/>
    </font>
    <font>
      <sz val="7"/>
      <color indexed="10"/>
      <name val="Arial"/>
      <family val="2"/>
    </font>
    <font>
      <sz val="8"/>
      <name val="Arial"/>
      <family val="2"/>
    </font>
    <font>
      <sz val="8"/>
      <name val="Arial"/>
      <family val="2"/>
    </font>
    <font>
      <b/>
      <sz val="10"/>
      <color rgb="FFFF0000"/>
      <name val="Arial"/>
      <family val="2"/>
    </font>
    <font>
      <sz val="10"/>
      <color rgb="FFFF0000"/>
      <name val="Arial"/>
      <family val="2"/>
    </font>
    <font>
      <sz val="9"/>
      <color rgb="FFFF0000"/>
      <name val="Arial"/>
      <family val="2"/>
    </font>
    <font>
      <sz val="8"/>
      <color rgb="FFFF0000"/>
      <name val="Arial"/>
      <family val="2"/>
    </font>
    <font>
      <sz val="10"/>
      <color theme="9" tint="-0.249977111117893"/>
      <name val="Arial"/>
      <family val="2"/>
    </font>
    <font>
      <sz val="9"/>
      <color rgb="FF00B050"/>
      <name val="Arial"/>
      <family val="2"/>
    </font>
    <font>
      <i/>
      <sz val="7"/>
      <name val="Arial"/>
      <family val="2"/>
    </font>
    <font>
      <i/>
      <sz val="9"/>
      <name val="Arial"/>
      <family val="2"/>
    </font>
    <font>
      <sz val="9"/>
      <color theme="1"/>
      <name val="Arial"/>
      <family val="2"/>
    </font>
    <font>
      <sz val="9"/>
      <color theme="9"/>
      <name val="Arial"/>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b/>
      <strike/>
      <sz val="10"/>
      <color rgb="FFFF0000"/>
      <name val="Arial"/>
      <family val="2"/>
    </font>
    <font>
      <i/>
      <sz val="8"/>
      <name val="Arial"/>
      <family val="2"/>
    </font>
    <font>
      <i/>
      <sz val="9"/>
      <color rgb="FFFF0000"/>
      <name val="Arial"/>
      <family val="2"/>
    </font>
    <font>
      <u/>
      <sz val="8.5"/>
      <color indexed="12"/>
      <name val="Arial"/>
      <family val="2"/>
    </font>
    <font>
      <b/>
      <sz val="9"/>
      <name val="Univers"/>
      <family val="2"/>
    </font>
    <font>
      <b/>
      <sz val="10"/>
      <name val="Arial Greek"/>
      <family val="2"/>
      <charset val="161"/>
    </font>
    <font>
      <sz val="10"/>
      <color theme="0" tint="-0.249977111117893"/>
      <name val="Arial"/>
      <family val="2"/>
    </font>
    <font>
      <sz val="10"/>
      <color theme="9"/>
      <name val="Arial"/>
      <family val="2"/>
    </font>
    <font>
      <sz val="9"/>
      <color theme="9" tint="-0.249977111117893"/>
      <name val="Arial"/>
      <family val="2"/>
    </font>
    <font>
      <sz val="10"/>
      <color theme="0" tint="-0.34998626667073579"/>
      <name val="Arial"/>
      <family val="2"/>
    </font>
    <font>
      <b/>
      <sz val="8"/>
      <name val="Segoe UI"/>
      <family val="2"/>
    </font>
    <font>
      <sz val="10"/>
      <name val="Arial"/>
    </font>
    <font>
      <i/>
      <sz val="9"/>
      <color rgb="FF0E2841"/>
      <name val="Segoe UI"/>
      <family val="2"/>
    </font>
    <font>
      <sz val="10"/>
      <name val="Segoe UI"/>
      <family val="2"/>
    </font>
    <font>
      <sz val="11"/>
      <name val="Segoe UI"/>
      <family val="2"/>
    </font>
    <font>
      <sz val="9"/>
      <name val="Segoe UI"/>
      <family val="2"/>
    </font>
    <font>
      <b/>
      <sz val="10"/>
      <name val="Segoe UI"/>
      <family val="2"/>
    </font>
    <font>
      <sz val="10"/>
      <color rgb="FFFF0000"/>
      <name val="Segoe UI"/>
      <family val="2"/>
    </font>
    <font>
      <sz val="10"/>
      <color rgb="FF00B050"/>
      <name val="Segoe UI"/>
      <family val="2"/>
    </font>
    <font>
      <sz val="10"/>
      <color theme="9"/>
      <name val="Segoe UI"/>
      <family val="2"/>
    </font>
    <font>
      <i/>
      <sz val="10"/>
      <name val="Segoe UI"/>
      <family val="2"/>
    </font>
    <font>
      <sz val="10"/>
      <color theme="9" tint="-0.249977111117893"/>
      <name val="Segoe UI"/>
      <family val="2"/>
    </font>
    <font>
      <sz val="10"/>
      <color theme="0" tint="-0.14999847407452621"/>
      <name val="Segoe UI"/>
      <family val="2"/>
    </font>
    <font>
      <b/>
      <sz val="9"/>
      <name val="Segoe UI"/>
      <family val="2"/>
    </font>
    <font>
      <sz val="11"/>
      <color theme="9" tint="-0.249977111117893"/>
      <name val="Segoe UI"/>
      <family val="2"/>
    </font>
    <font>
      <b/>
      <sz val="10"/>
      <color indexed="10"/>
      <name val="Segoe UI"/>
      <family val="2"/>
    </font>
    <font>
      <u/>
      <sz val="10"/>
      <name val="Segoe UI"/>
      <family val="2"/>
    </font>
    <font>
      <sz val="10"/>
      <color indexed="10"/>
      <name val="Segoe UI"/>
      <family val="2"/>
    </font>
    <font>
      <sz val="10"/>
      <color indexed="56"/>
      <name val="Segoe UI"/>
      <family val="2"/>
    </font>
    <font>
      <vertAlign val="superscript"/>
      <sz val="8"/>
      <name val="Segoe UI"/>
      <family val="2"/>
    </font>
    <font>
      <b/>
      <i/>
      <sz val="10"/>
      <color indexed="10"/>
      <name val="Segoe UI"/>
      <family val="2"/>
    </font>
    <font>
      <vertAlign val="superscript"/>
      <sz val="10"/>
      <name val="Segoe UI"/>
      <family val="2"/>
    </font>
    <font>
      <sz val="11"/>
      <color theme="0"/>
      <name val="Segoe UI"/>
      <family val="2"/>
    </font>
    <font>
      <sz val="8"/>
      <name val="Segoe UI"/>
      <family val="2"/>
    </font>
    <font>
      <sz val="9"/>
      <color rgb="FFFF0000"/>
      <name val="Segoe UI"/>
      <family val="2"/>
    </font>
    <font>
      <sz val="10"/>
      <color indexed="8"/>
      <name val="Segoe UI"/>
      <family val="2"/>
    </font>
    <font>
      <b/>
      <sz val="10"/>
      <color indexed="8"/>
      <name val="Segoe UI"/>
      <family val="2"/>
    </font>
    <font>
      <b/>
      <sz val="10"/>
      <color rgb="FFFF0000"/>
      <name val="Segoe UI"/>
      <family val="2"/>
    </font>
    <font>
      <b/>
      <sz val="7"/>
      <name val="Segoe UI"/>
      <family val="2"/>
    </font>
    <font>
      <sz val="7"/>
      <name val="Segoe UI"/>
      <family val="2"/>
    </font>
    <font>
      <sz val="6"/>
      <color rgb="FFFF0000"/>
      <name val="Segoe UI"/>
      <family val="2"/>
    </font>
    <font>
      <b/>
      <sz val="8"/>
      <color rgb="FFFF0000"/>
      <name val="Segoe UI"/>
      <family val="2"/>
    </font>
    <font>
      <u/>
      <sz val="10"/>
      <color rgb="FFFF0000"/>
      <name val="Segoe UI"/>
      <family val="2"/>
    </font>
    <font>
      <i/>
      <sz val="7"/>
      <name val="Segoe UI"/>
      <family val="2"/>
    </font>
    <font>
      <sz val="7"/>
      <color rgb="FFFF0000"/>
      <name val="Segoe UI"/>
      <family val="2"/>
    </font>
    <font>
      <u/>
      <sz val="8"/>
      <color rgb="FFFF0000"/>
      <name val="Segoe UI"/>
      <family val="2"/>
    </font>
    <font>
      <b/>
      <sz val="7"/>
      <color indexed="10"/>
      <name val="Segoe UI"/>
      <family val="2"/>
    </font>
    <font>
      <sz val="8"/>
      <color rgb="FFFF0000"/>
      <name val="Segoe UI"/>
      <family val="2"/>
    </font>
    <font>
      <i/>
      <sz val="7"/>
      <color rgb="FFFF0000"/>
      <name val="Segoe UI"/>
      <family val="2"/>
    </font>
    <font>
      <vertAlign val="superscript"/>
      <sz val="7"/>
      <name val="Segoe UI"/>
      <family val="2"/>
    </font>
  </fonts>
  <fills count="49">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indexed="42"/>
        <bgColor indexed="27"/>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43"/>
        <bgColor indexed="26"/>
      </patternFill>
    </fill>
    <fill>
      <patternFill patternType="solid">
        <fgColor indexed="47"/>
        <bgColor indexed="22"/>
      </patternFill>
    </fill>
    <fill>
      <patternFill patternType="solid">
        <fgColor indexed="57"/>
        <bgColor indexed="21"/>
      </patternFill>
    </fill>
    <fill>
      <patternFill patternType="solid">
        <fgColor indexed="22"/>
        <bgColor indexed="31"/>
      </patternFill>
    </fill>
    <fill>
      <patternFill patternType="solid">
        <fgColor indexed="34"/>
        <bgColor indexed="64"/>
      </patternFill>
    </fill>
    <fill>
      <patternFill patternType="solid">
        <fgColor indexed="9"/>
        <bgColor indexed="64"/>
      </patternFill>
    </fill>
    <fill>
      <patternFill patternType="solid">
        <fgColor indexed="55"/>
        <bgColor indexed="64"/>
      </patternFill>
    </fill>
    <fill>
      <patternFill patternType="solid">
        <fgColor rgb="FFFFFF00"/>
        <bgColor indexed="26"/>
      </patternFill>
    </fill>
    <fill>
      <patternFill patternType="solid">
        <fgColor rgb="FFFFFF00"/>
        <bgColor indexed="64"/>
      </patternFill>
    </fill>
    <fill>
      <patternFill patternType="solid">
        <fgColor theme="0"/>
        <bgColor indexed="26"/>
      </patternFill>
    </fill>
    <fill>
      <patternFill patternType="solid">
        <fgColor theme="0"/>
        <bgColor indexed="64"/>
      </patternFill>
    </fill>
    <fill>
      <patternFill patternType="solid">
        <fgColor theme="0"/>
        <bgColor indexed="34"/>
      </patternFill>
    </fill>
    <fill>
      <patternFill patternType="solid">
        <fgColor rgb="FFFFFFFF"/>
        <bgColor indexed="64"/>
      </patternFill>
    </fill>
    <fill>
      <patternFill patternType="solid">
        <fgColor theme="0"/>
        <bgColor indexed="46"/>
      </patternFill>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3"/>
        <bgColor indexed="52"/>
      </patternFill>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0"/>
        <bgColor rgb="FFFFFFCC"/>
      </patternFill>
    </fill>
    <fill>
      <patternFill patternType="solid">
        <fgColor indexed="43"/>
        <bgColor indexed="64"/>
      </patternFill>
    </fill>
    <fill>
      <patternFill patternType="solid">
        <fgColor indexed="44"/>
        <bgColor indexed="64"/>
      </patternFill>
    </fill>
    <fill>
      <patternFill patternType="solid">
        <fgColor rgb="FFFDFD9A"/>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FF"/>
        <bgColor rgb="FFFFFFCC"/>
      </patternFill>
    </fill>
    <fill>
      <patternFill patternType="solid">
        <fgColor theme="2"/>
        <bgColor indexed="64"/>
      </patternFill>
    </fill>
    <fill>
      <patternFill patternType="solid">
        <fgColor theme="2"/>
        <bgColor indexed="46"/>
      </patternFill>
    </fill>
    <fill>
      <patternFill patternType="solid">
        <fgColor theme="2"/>
        <bgColor indexed="21"/>
      </patternFill>
    </fill>
    <fill>
      <patternFill patternType="solid">
        <fgColor rgb="FFBF8B2E"/>
        <bgColor indexed="64"/>
      </patternFill>
    </fill>
  </fills>
  <borders count="157">
    <border>
      <left/>
      <right/>
      <top/>
      <bottom/>
      <diagonal/>
    </border>
    <border>
      <left/>
      <right/>
      <top style="hair">
        <color indexed="8"/>
      </top>
      <bottom style="hair">
        <color indexed="8"/>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bottom/>
      <diagonal/>
    </border>
    <border>
      <left style="thin">
        <color indexed="64"/>
      </left>
      <right style="thin">
        <color indexed="64"/>
      </right>
      <top/>
      <bottom style="thin">
        <color indexed="64"/>
      </bottom>
      <diagonal/>
    </border>
    <border>
      <left style="medium">
        <color indexed="8"/>
      </left>
      <right style="medium">
        <color indexed="8"/>
      </right>
      <top/>
      <bottom style="thin">
        <color indexed="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medium">
        <color indexed="8"/>
      </left>
      <right/>
      <top style="thin">
        <color theme="0"/>
      </top>
      <bottom style="thin">
        <color theme="0"/>
      </bottom>
      <diagonal/>
    </border>
    <border>
      <left style="medium">
        <color indexed="8"/>
      </left>
      <right/>
      <top style="thin">
        <color theme="0"/>
      </top>
      <bottom/>
      <diagonal/>
    </border>
    <border>
      <left style="medium">
        <color indexed="8"/>
      </left>
      <right/>
      <top/>
      <bottom style="thin">
        <color theme="0"/>
      </bottom>
      <diagonal/>
    </border>
    <border>
      <left style="thin">
        <color indexed="8"/>
      </left>
      <right style="medium">
        <color indexed="64"/>
      </right>
      <top/>
      <bottom style="thin">
        <color indexed="8"/>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right style="thin">
        <color theme="0"/>
      </right>
      <top style="mediumDashed">
        <color theme="0"/>
      </top>
      <bottom style="thin">
        <color theme="0"/>
      </bottom>
      <diagonal/>
    </border>
    <border>
      <left style="thin">
        <color theme="0"/>
      </left>
      <right style="thin">
        <color theme="0"/>
      </right>
      <top style="mediumDashed">
        <color theme="0"/>
      </top>
      <bottom style="thin">
        <color theme="0"/>
      </bottom>
      <diagonal/>
    </border>
    <border>
      <left style="thin">
        <color indexed="8"/>
      </left>
      <right style="medium">
        <color indexed="8"/>
      </right>
      <top/>
      <bottom style="thin">
        <color indexed="8"/>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hair">
        <color theme="4" tint="0.59996337778862885"/>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medium">
        <color indexed="64"/>
      </right>
      <top style="thin">
        <color indexed="8"/>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indexed="8"/>
      </left>
      <right/>
      <top style="thin">
        <color indexed="8"/>
      </top>
      <bottom style="thin">
        <color indexed="8"/>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8"/>
      </left>
      <right style="thin">
        <color indexed="8"/>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thin">
        <color indexed="64"/>
      </top>
      <bottom/>
      <diagonal/>
    </border>
    <border>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style="thin">
        <color indexed="64"/>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theme="0"/>
      </left>
      <right style="thin">
        <color theme="0"/>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bottom/>
      <diagonal/>
    </border>
    <border>
      <left style="thin">
        <color indexed="8"/>
      </left>
      <right style="medium">
        <color indexed="8"/>
      </right>
      <top style="thin">
        <color indexed="8"/>
      </top>
      <bottom style="medium">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medium">
        <color indexed="8"/>
      </bottom>
      <diagonal/>
    </border>
    <border>
      <left/>
      <right style="medium">
        <color indexed="8"/>
      </right>
      <top style="medium">
        <color indexed="8"/>
      </top>
      <bottom style="medium">
        <color indexed="8"/>
      </bottom>
      <diagonal/>
    </border>
    <border>
      <left style="thin">
        <color indexed="8"/>
      </left>
      <right/>
      <top/>
      <bottom style="medium">
        <color indexed="8"/>
      </bottom>
      <diagonal/>
    </border>
    <border>
      <left style="thin">
        <color indexed="8"/>
      </left>
      <right/>
      <top style="medium">
        <color indexed="8"/>
      </top>
      <bottom/>
      <diagonal/>
    </border>
    <border>
      <left style="thin">
        <color indexed="8"/>
      </left>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top style="medium">
        <color indexed="64"/>
      </top>
      <bottom style="thin">
        <color indexed="64"/>
      </bottom>
      <diagonal/>
    </border>
    <border>
      <left style="medium">
        <color indexed="8"/>
      </left>
      <right style="thin">
        <color indexed="8"/>
      </right>
      <top/>
      <bottom style="medium">
        <color indexed="8"/>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rgb="FF000000"/>
      </left>
      <right/>
      <top/>
      <bottom style="thin">
        <color rgb="FFBFBFBF"/>
      </bottom>
      <diagonal/>
    </border>
    <border>
      <left style="thin">
        <color rgb="FF000000"/>
      </left>
      <right/>
      <top style="thin">
        <color rgb="FF000000"/>
      </top>
      <bottom style="thin">
        <color rgb="FFBFBFBF"/>
      </bottom>
      <diagonal/>
    </border>
    <border>
      <left style="medium">
        <color theme="0"/>
      </left>
      <right style="medium">
        <color theme="0"/>
      </right>
      <top/>
      <bottom style="thin">
        <color theme="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style="thin">
        <color theme="0" tint="-0.499984740745262"/>
      </bottom>
      <diagonal/>
    </border>
    <border>
      <left style="thin">
        <color indexed="64"/>
      </left>
      <right style="thin">
        <color indexed="64"/>
      </right>
      <top/>
      <bottom style="thin">
        <color theme="0" tint="-0.499984740745262"/>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s>
  <cellStyleXfs count="196">
    <xf numFmtId="3" fontId="0" fillId="0" borderId="0">
      <alignment wrapText="1"/>
    </xf>
    <xf numFmtId="0" fontId="1" fillId="0" borderId="1">
      <alignment horizontal="right"/>
    </xf>
    <xf numFmtId="0" fontId="2" fillId="0" borderId="0">
      <alignment vertical="top"/>
    </xf>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4" fontId="29" fillId="0" borderId="0" applyFill="0" applyBorder="0" applyAlignment="0" applyProtection="0"/>
    <xf numFmtId="165" fontId="29" fillId="0" borderId="0" applyFill="0" applyBorder="0" applyAlignment="0" applyProtection="0"/>
    <xf numFmtId="0" fontId="11" fillId="0" borderId="0" applyNumberFormat="0" applyFill="0" applyBorder="0" applyAlignment="0" applyProtection="0"/>
    <xf numFmtId="166" fontId="29" fillId="0" borderId="0" applyFill="0" applyBorder="0" applyAlignment="0" applyProtection="0"/>
    <xf numFmtId="169" fontId="29" fillId="0" borderId="0" applyFill="0" applyBorder="0" applyAlignment="0" applyProtection="0"/>
    <xf numFmtId="170" fontId="29" fillId="0" borderId="0" applyFill="0" applyBorder="0" applyAlignment="0" applyProtection="0"/>
    <xf numFmtId="169" fontId="29" fillId="0" borderId="0" applyFill="0" applyBorder="0" applyAlignment="0" applyProtection="0"/>
    <xf numFmtId="166" fontId="29" fillId="0" borderId="0" applyFill="0" applyBorder="0" applyAlignment="0" applyProtection="0"/>
    <xf numFmtId="167" fontId="29" fillId="0" borderId="0" applyFill="0" applyBorder="0" applyAlignment="0" applyProtection="0"/>
    <xf numFmtId="167" fontId="29" fillId="0" borderId="0" applyFill="0" applyBorder="0" applyAlignment="0" applyProtection="0"/>
    <xf numFmtId="167" fontId="29" fillId="0" borderId="0" applyFill="0" applyBorder="0" applyAlignment="0" applyProtection="0"/>
    <xf numFmtId="167" fontId="29" fillId="0" borderId="0" applyFill="0" applyBorder="0" applyAlignment="0" applyProtection="0"/>
    <xf numFmtId="167" fontId="29" fillId="0" borderId="0" applyFill="0" applyBorder="0" applyAlignment="0" applyProtection="0"/>
    <xf numFmtId="167" fontId="29" fillId="0" borderId="0" applyFill="0" applyBorder="0" applyAlignment="0" applyProtection="0"/>
    <xf numFmtId="168" fontId="29" fillId="0" borderId="0" applyFill="0" applyBorder="0" applyAlignment="0" applyProtection="0"/>
    <xf numFmtId="168" fontId="29" fillId="0" borderId="0" applyFill="0" applyBorder="0" applyAlignment="0" applyProtection="0"/>
    <xf numFmtId="166" fontId="29" fillId="0" borderId="0" applyFill="0" applyBorder="0" applyAlignment="0" applyProtection="0"/>
    <xf numFmtId="166" fontId="29" fillId="0" borderId="0" applyFill="0" applyBorder="0" applyAlignment="0" applyProtection="0"/>
    <xf numFmtId="166" fontId="29" fillId="0" borderId="0" applyFill="0" applyBorder="0" applyAlignment="0" applyProtection="0"/>
    <xf numFmtId="0" fontId="3" fillId="0" borderId="0"/>
    <xf numFmtId="0" fontId="29"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29" fillId="0" borderId="0"/>
    <xf numFmtId="0" fontId="29" fillId="2" borderId="2" applyNumberFormat="0" applyAlignment="0" applyProtection="0"/>
    <xf numFmtId="4" fontId="2" fillId="3" borderId="0">
      <alignment horizontal="right"/>
    </xf>
    <xf numFmtId="0" fontId="6" fillId="3" borderId="0">
      <alignment horizontal="right"/>
    </xf>
    <xf numFmtId="0" fontId="7" fillId="3" borderId="3"/>
    <xf numFmtId="0" fontId="7" fillId="0" borderId="0" applyBorder="0">
      <alignment horizontal="center"/>
    </xf>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171" fontId="29" fillId="0" borderId="0" applyFill="0" applyBorder="0" applyAlignment="0" applyProtection="0"/>
    <xf numFmtId="0" fontId="29" fillId="0" borderId="0"/>
    <xf numFmtId="0" fontId="29" fillId="0" borderId="0"/>
    <xf numFmtId="3" fontId="4" fillId="0" borderId="0"/>
    <xf numFmtId="0" fontId="11" fillId="0" borderId="0" applyNumberFormat="0" applyFill="0" applyBorder="0" applyAlignment="0" applyProtection="0">
      <alignment vertical="top"/>
      <protection locked="0"/>
    </xf>
    <xf numFmtId="0" fontId="5" fillId="22" borderId="0" applyNumberFormat="0" applyBorder="0" applyAlignment="0" applyProtection="0"/>
    <xf numFmtId="0" fontId="5" fillId="23" borderId="0" applyNumberFormat="0" applyBorder="0" applyAlignment="0" applyProtection="0"/>
    <xf numFmtId="0" fontId="5" fillId="4"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24" borderId="0" applyNumberFormat="0" applyBorder="0" applyAlignment="0" applyProtection="0"/>
    <xf numFmtId="0" fontId="5" fillId="7" borderId="0" applyNumberFormat="0" applyBorder="0" applyAlignment="0" applyProtection="0"/>
    <xf numFmtId="0" fontId="5" fillId="26" borderId="0" applyNumberFormat="0" applyBorder="0" applyAlignment="0" applyProtection="0"/>
    <xf numFmtId="0" fontId="45" fillId="27"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6" fillId="4" borderId="0" applyNumberFormat="0" applyBorder="0" applyAlignment="0" applyProtection="0"/>
    <xf numFmtId="0" fontId="49" fillId="11" borderId="40" applyNumberFormat="0" applyAlignment="0" applyProtection="0"/>
    <xf numFmtId="0" fontId="47" fillId="31" borderId="41" applyNumberFormat="0" applyAlignment="0" applyProtection="0"/>
    <xf numFmtId="0" fontId="48" fillId="0" borderId="42" applyNumberFormat="0" applyFill="0" applyAlignment="0" applyProtection="0"/>
    <xf numFmtId="0" fontId="50" fillId="0" borderId="0" applyNumberFormat="0" applyFill="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10"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4" borderId="0" applyNumberFormat="0" applyBorder="0" applyAlignment="0" applyProtection="0"/>
    <xf numFmtId="0" fontId="51" fillId="9" borderId="40" applyNumberFormat="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0" fontId="52" fillId="23" borderId="0" applyNumberFormat="0" applyBorder="0" applyAlignment="0" applyProtection="0"/>
    <xf numFmtId="167" fontId="4" fillId="0" borderId="0" applyFill="0" applyBorder="0" applyAlignment="0" applyProtection="0"/>
    <xf numFmtId="169"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76"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76"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85" fontId="4" fillId="0" borderId="0" applyFill="0" applyBorder="0" applyAlignment="0" applyProtection="0"/>
    <xf numFmtId="185" fontId="4" fillId="0" borderId="0" applyFill="0" applyBorder="0" applyAlignment="0" applyProtection="0"/>
    <xf numFmtId="167" fontId="4" fillId="0" borderId="0" applyFill="0" applyBorder="0" applyAlignment="0" applyProtection="0"/>
    <xf numFmtId="0" fontId="53" fillId="8" borderId="0" applyNumberFormat="0" applyBorder="0" applyAlignment="0" applyProtection="0"/>
    <xf numFmtId="0" fontId="4" fillId="2" borderId="43" applyNumberFormat="0" applyAlignment="0" applyProtection="0"/>
    <xf numFmtId="0" fontId="4" fillId="2" borderId="43" applyNumberFormat="0" applyAlignment="0" applyProtection="0"/>
    <xf numFmtId="0" fontId="4" fillId="2" borderId="43" applyNumberFormat="0" applyAlignment="0" applyProtection="0"/>
    <xf numFmtId="0" fontId="4" fillId="2" borderId="43" applyNumberFormat="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0" fontId="4" fillId="0" borderId="0"/>
    <xf numFmtId="0" fontId="4" fillId="0" borderId="0"/>
    <xf numFmtId="0" fontId="4" fillId="0" borderId="0"/>
    <xf numFmtId="0" fontId="4" fillId="0" borderId="0"/>
    <xf numFmtId="0" fontId="54" fillId="11" borderId="44"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xf numFmtId="0" fontId="59" fillId="0" borderId="45" applyNumberFormat="0" applyFill="0" applyAlignment="0" applyProtection="0"/>
    <xf numFmtId="0" fontId="60" fillId="0" borderId="46" applyNumberFormat="0" applyFill="0" applyAlignment="0" applyProtection="0"/>
    <xf numFmtId="0" fontId="50" fillId="0" borderId="47" applyNumberFormat="0" applyFill="0" applyAlignment="0" applyProtection="0"/>
    <xf numFmtId="0" fontId="57" fillId="0" borderId="48" applyNumberFormat="0" applyFill="0" applyAlignment="0" applyProtection="0"/>
    <xf numFmtId="0" fontId="64" fillId="0" borderId="0" applyNumberFormat="0" applyFill="0" applyBorder="0" applyAlignment="0" applyProtection="0">
      <alignment vertical="top"/>
      <protection locked="0"/>
    </xf>
    <xf numFmtId="9" fontId="4" fillId="0" borderId="0" applyFont="0" applyFill="0" applyBorder="0" applyAlignment="0" applyProtection="0"/>
    <xf numFmtId="3" fontId="72" fillId="0" borderId="0">
      <alignment vertical="center"/>
    </xf>
    <xf numFmtId="3" fontId="72" fillId="0" borderId="0">
      <alignment vertical="center"/>
    </xf>
  </cellStyleXfs>
  <cellXfs count="1082">
    <xf numFmtId="3" fontId="0" fillId="0" borderId="0" xfId="0">
      <alignment wrapText="1"/>
    </xf>
    <xf numFmtId="3" fontId="8" fillId="3" borderId="0" xfId="0" applyFont="1" applyFill="1" applyAlignment="1">
      <alignment vertical="center"/>
    </xf>
    <xf numFmtId="3" fontId="0" fillId="3" borderId="0" xfId="0" applyFill="1" applyAlignment="1">
      <alignment vertical="center"/>
    </xf>
    <xf numFmtId="3" fontId="0" fillId="3" borderId="0" xfId="0" applyFill="1" applyAlignment="1">
      <alignment horizontal="center" vertical="center"/>
    </xf>
    <xf numFmtId="3" fontId="8" fillId="3" borderId="0" xfId="0" applyFont="1" applyFill="1" applyAlignment="1">
      <alignment horizontal="center" vertical="center"/>
    </xf>
    <xf numFmtId="3" fontId="8" fillId="3" borderId="0" xfId="0" applyFont="1" applyFill="1">
      <alignment wrapText="1"/>
    </xf>
    <xf numFmtId="3" fontId="0" fillId="3" borderId="0" xfId="0" applyFill="1">
      <alignment wrapText="1"/>
    </xf>
    <xf numFmtId="3" fontId="4" fillId="3" borderId="0" xfId="0" applyFont="1" applyFill="1" applyAlignment="1">
      <alignment vertical="center"/>
    </xf>
    <xf numFmtId="3" fontId="8" fillId="3" borderId="0" xfId="0" applyFont="1" applyFill="1" applyAlignment="1">
      <alignment horizontal="center"/>
    </xf>
    <xf numFmtId="3" fontId="4" fillId="3" borderId="0" xfId="0" applyFont="1" applyFill="1">
      <alignment wrapText="1"/>
    </xf>
    <xf numFmtId="3" fontId="9" fillId="3" borderId="0" xfId="0" applyFont="1" applyFill="1">
      <alignment wrapText="1"/>
    </xf>
    <xf numFmtId="3" fontId="8" fillId="0" borderId="0" xfId="0" applyFont="1">
      <alignment wrapText="1"/>
    </xf>
    <xf numFmtId="3" fontId="12" fillId="0" borderId="0" xfId="0" applyFont="1">
      <alignment wrapText="1"/>
    </xf>
    <xf numFmtId="3" fontId="4" fillId="0" borderId="0" xfId="0" applyFont="1">
      <alignment wrapText="1"/>
    </xf>
    <xf numFmtId="3" fontId="0" fillId="3" borderId="0" xfId="0" applyFill="1" applyAlignment="1">
      <alignment horizontal="center"/>
    </xf>
    <xf numFmtId="3" fontId="0" fillId="0" borderId="0" xfId="0" applyAlignment="1">
      <alignment horizontal="center"/>
    </xf>
    <xf numFmtId="3" fontId="0" fillId="3" borderId="0" xfId="0" applyFill="1" applyAlignment="1">
      <alignment horizontal="left" vertical="center"/>
    </xf>
    <xf numFmtId="3" fontId="4" fillId="3" borderId="0" xfId="0" applyFont="1" applyFill="1" applyAlignment="1">
      <alignment horizontal="left" vertical="center" wrapText="1"/>
    </xf>
    <xf numFmtId="3" fontId="0" fillId="3" borderId="0" xfId="0" applyFill="1" applyAlignment="1">
      <alignment vertical="center" wrapText="1"/>
    </xf>
    <xf numFmtId="3" fontId="4" fillId="3" borderId="0" xfId="0" applyFont="1" applyFill="1" applyAlignment="1">
      <alignment horizontal="left" vertical="center"/>
    </xf>
    <xf numFmtId="3" fontId="4" fillId="3" borderId="0" xfId="0" applyFont="1" applyFill="1" applyAlignment="1">
      <alignment horizontal="center"/>
    </xf>
    <xf numFmtId="3" fontId="4" fillId="3" borderId="0" xfId="0" applyFont="1" applyFill="1" applyAlignment="1">
      <alignment horizontal="center" vertical="center"/>
    </xf>
    <xf numFmtId="3" fontId="12" fillId="3" borderId="0" xfId="0" applyFont="1" applyFill="1" applyAlignment="1">
      <alignment vertical="center"/>
    </xf>
    <xf numFmtId="0" fontId="4" fillId="3" borderId="0" xfId="41" applyFill="1" applyAlignment="1">
      <alignment vertical="center"/>
    </xf>
    <xf numFmtId="0" fontId="4" fillId="3" borderId="0" xfId="41" applyFill="1" applyAlignment="1">
      <alignment horizontal="center"/>
    </xf>
    <xf numFmtId="0" fontId="4" fillId="3" borderId="0" xfId="41" applyFill="1"/>
    <xf numFmtId="0" fontId="4" fillId="3" borderId="0" xfId="41" applyFill="1" applyAlignment="1">
      <alignment wrapText="1"/>
    </xf>
    <xf numFmtId="0" fontId="4" fillId="3" borderId="0" xfId="41" applyFill="1" applyAlignment="1">
      <alignment vertical="center" wrapText="1"/>
    </xf>
    <xf numFmtId="3" fontId="12" fillId="3" borderId="0" xfId="0" applyFont="1" applyFill="1">
      <alignment wrapText="1"/>
    </xf>
    <xf numFmtId="171" fontId="0" fillId="3" borderId="0" xfId="59" applyFont="1" applyFill="1" applyBorder="1" applyAlignment="1" applyProtection="1"/>
    <xf numFmtId="0" fontId="8" fillId="3" borderId="0" xfId="41" applyFont="1" applyFill="1" applyAlignment="1">
      <alignment vertical="center"/>
    </xf>
    <xf numFmtId="3" fontId="0" fillId="3" borderId="0" xfId="0" applyFill="1" applyAlignment="1">
      <alignment horizontal="left" vertical="center" wrapText="1"/>
    </xf>
    <xf numFmtId="3" fontId="16" fillId="0" borderId="0" xfId="0" applyFont="1" applyAlignment="1">
      <alignment horizontal="center"/>
    </xf>
    <xf numFmtId="3" fontId="0" fillId="3" borderId="0" xfId="0" applyFill="1" applyAlignment="1">
      <alignment horizontal="center" vertical="center" wrapText="1"/>
    </xf>
    <xf numFmtId="3" fontId="4" fillId="3" borderId="0" xfId="0" applyFont="1" applyFill="1" applyAlignment="1">
      <alignment horizontal="center" vertical="center" wrapText="1"/>
    </xf>
    <xf numFmtId="173" fontId="12" fillId="3" borderId="0" xfId="0" applyNumberFormat="1" applyFont="1" applyFill="1" applyAlignment="1">
      <alignment horizontal="center" vertical="center"/>
    </xf>
    <xf numFmtId="3" fontId="8" fillId="3" borderId="0" xfId="0" applyFont="1" applyFill="1" applyAlignment="1">
      <alignment vertical="center" wrapText="1"/>
    </xf>
    <xf numFmtId="3" fontId="9" fillId="3" borderId="0" xfId="0" applyFont="1" applyFill="1" applyAlignment="1">
      <alignment vertical="center" wrapText="1"/>
    </xf>
    <xf numFmtId="3" fontId="4" fillId="3" borderId="0" xfId="0" applyFont="1" applyFill="1" applyAlignment="1">
      <alignment horizontal="left" wrapText="1"/>
    </xf>
    <xf numFmtId="172" fontId="0" fillId="3" borderId="0" xfId="0" applyNumberFormat="1" applyFill="1">
      <alignment wrapText="1"/>
    </xf>
    <xf numFmtId="4" fontId="0" fillId="3" borderId="0" xfId="0" applyNumberFormat="1" applyFill="1">
      <alignment wrapText="1"/>
    </xf>
    <xf numFmtId="3" fontId="8" fillId="3" borderId="0" xfId="0" applyFont="1" applyFill="1" applyAlignment="1">
      <alignment horizontal="left" vertical="center"/>
    </xf>
    <xf numFmtId="3" fontId="8" fillId="0" borderId="0" xfId="0" applyFont="1" applyAlignment="1">
      <alignment vertical="center"/>
    </xf>
    <xf numFmtId="3" fontId="9" fillId="3" borderId="0" xfId="0" applyFont="1" applyFill="1" applyAlignment="1">
      <alignment horizontal="left" vertical="center" wrapText="1"/>
    </xf>
    <xf numFmtId="3" fontId="9" fillId="3" borderId="0" xfId="0" applyFont="1" applyFill="1" applyAlignment="1">
      <alignment horizontal="right" vertical="center"/>
    </xf>
    <xf numFmtId="3" fontId="9" fillId="3" borderId="0" xfId="0" applyFont="1" applyFill="1" applyAlignment="1">
      <alignment horizontal="right"/>
    </xf>
    <xf numFmtId="3" fontId="8" fillId="0" borderId="0" xfId="0" applyFont="1" applyAlignment="1">
      <alignment horizontal="center"/>
    </xf>
    <xf numFmtId="4" fontId="4" fillId="3" borderId="0" xfId="0" applyNumberFormat="1" applyFont="1" applyFill="1" applyAlignment="1">
      <alignment vertical="center"/>
    </xf>
    <xf numFmtId="3" fontId="0" fillId="0" borderId="0" xfId="0" applyAlignment="1">
      <alignment horizontal="left"/>
    </xf>
    <xf numFmtId="3" fontId="3" fillId="0" borderId="0" xfId="0" applyFont="1">
      <alignment wrapText="1"/>
    </xf>
    <xf numFmtId="3" fontId="8" fillId="3" borderId="0" xfId="0" applyFont="1" applyFill="1" applyAlignment="1">
      <alignment horizontal="right" vertical="center"/>
    </xf>
    <xf numFmtId="0" fontId="4" fillId="3" borderId="0" xfId="41" applyFill="1" applyAlignment="1">
      <alignment horizontal="left" vertical="center"/>
    </xf>
    <xf numFmtId="0" fontId="4" fillId="3" borderId="0" xfId="41" applyFill="1" applyAlignment="1">
      <alignment horizontal="center" vertical="center"/>
    </xf>
    <xf numFmtId="0" fontId="4" fillId="3" borderId="0" xfId="41" applyFill="1" applyAlignment="1">
      <alignment horizontal="left" vertical="center" wrapText="1"/>
    </xf>
    <xf numFmtId="181" fontId="0" fillId="3" borderId="0" xfId="23" applyNumberFormat="1" applyFont="1" applyFill="1" applyBorder="1" applyAlignment="1" applyProtection="1">
      <alignment vertical="center"/>
    </xf>
    <xf numFmtId="177" fontId="4" fillId="3" borderId="0" xfId="41" applyNumberFormat="1" applyFill="1" applyAlignment="1">
      <alignment vertical="center"/>
    </xf>
    <xf numFmtId="0" fontId="12" fillId="3" borderId="0" xfId="41" applyFont="1" applyFill="1" applyAlignment="1">
      <alignment horizontal="left" vertical="center"/>
    </xf>
    <xf numFmtId="0" fontId="8" fillId="3" borderId="0" xfId="41" applyFont="1" applyFill="1" applyAlignment="1">
      <alignment horizontal="left" vertical="center"/>
    </xf>
    <xf numFmtId="0" fontId="4" fillId="3" borderId="0" xfId="41" applyFill="1" applyAlignment="1">
      <alignment horizontal="center" vertical="center" wrapText="1"/>
    </xf>
    <xf numFmtId="3" fontId="4" fillId="0" borderId="0" xfId="0" applyFont="1" applyAlignment="1">
      <alignment horizontal="center"/>
    </xf>
    <xf numFmtId="4" fontId="0" fillId="0" borderId="0" xfId="0" applyNumberFormat="1">
      <alignment wrapText="1"/>
    </xf>
    <xf numFmtId="0" fontId="4" fillId="0" borderId="0" xfId="41"/>
    <xf numFmtId="3" fontId="0" fillId="3" borderId="0" xfId="0" applyFill="1" applyAlignment="1">
      <alignment horizontal="justify" wrapText="1"/>
    </xf>
    <xf numFmtId="182" fontId="0" fillId="3" borderId="0" xfId="0" applyNumberFormat="1" applyFill="1">
      <alignment wrapText="1"/>
    </xf>
    <xf numFmtId="173" fontId="0" fillId="3" borderId="0" xfId="0" applyNumberFormat="1" applyFill="1">
      <alignment wrapText="1"/>
    </xf>
    <xf numFmtId="3" fontId="0" fillId="3" borderId="0" xfId="0" applyFill="1" applyAlignment="1">
      <alignment horizontal="center" wrapText="1"/>
    </xf>
    <xf numFmtId="3" fontId="12" fillId="0" borderId="0" xfId="0" applyFont="1" applyAlignment="1">
      <alignment horizontal="center"/>
    </xf>
    <xf numFmtId="3" fontId="0" fillId="3" borderId="0" xfId="0" applyFill="1" applyAlignment="1">
      <alignment horizontal="justify" vertical="center"/>
    </xf>
    <xf numFmtId="3" fontId="0" fillId="3" borderId="0" xfId="0" applyFill="1" applyAlignment="1">
      <alignment vertical="distributed" wrapText="1"/>
    </xf>
    <xf numFmtId="3" fontId="0" fillId="0" borderId="0" xfId="0" applyAlignment="1">
      <alignment horizontal="justify" vertical="distributed" wrapText="1"/>
    </xf>
    <xf numFmtId="3" fontId="8" fillId="3" borderId="0" xfId="0" applyFont="1" applyFill="1" applyAlignment="1">
      <alignment horizontal="center" wrapText="1"/>
    </xf>
    <xf numFmtId="172" fontId="0" fillId="3" borderId="0" xfId="0" applyNumberFormat="1" applyFill="1" applyAlignment="1">
      <alignment vertical="center"/>
    </xf>
    <xf numFmtId="171" fontId="0" fillId="0" borderId="0" xfId="62" applyFont="1" applyFill="1" applyBorder="1" applyAlignment="1" applyProtection="1"/>
    <xf numFmtId="0" fontId="1" fillId="0" borderId="9" xfId="41" applyFont="1" applyBorder="1" applyAlignment="1">
      <alignment horizontal="justify" vertical="center" wrapText="1"/>
    </xf>
    <xf numFmtId="0" fontId="1" fillId="0" borderId="9" xfId="41" applyFont="1" applyBorder="1" applyAlignment="1">
      <alignment horizontal="center" vertical="center" wrapText="1"/>
    </xf>
    <xf numFmtId="2" fontId="1" fillId="0" borderId="9" xfId="41" applyNumberFormat="1" applyFont="1" applyBorder="1" applyAlignment="1">
      <alignment horizontal="center" vertical="center" wrapText="1"/>
    </xf>
    <xf numFmtId="2" fontId="1" fillId="0" borderId="4" xfId="41" applyNumberFormat="1" applyFont="1" applyBorder="1" applyAlignment="1">
      <alignment horizontal="center" vertical="center" wrapText="1"/>
    </xf>
    <xf numFmtId="2" fontId="1" fillId="3" borderId="4" xfId="41" applyNumberFormat="1" applyFont="1" applyFill="1" applyBorder="1" applyAlignment="1">
      <alignment horizontal="center" vertical="center" wrapText="1"/>
    </xf>
    <xf numFmtId="0" fontId="1" fillId="0" borderId="10" xfId="41" applyFont="1" applyBorder="1" applyAlignment="1">
      <alignment horizontal="center" vertical="center" wrapText="1"/>
    </xf>
    <xf numFmtId="0" fontId="1" fillId="11" borderId="0" xfId="41" applyFont="1" applyFill="1" applyAlignment="1">
      <alignment horizontal="center" vertical="center" wrapText="1"/>
    </xf>
    <xf numFmtId="0" fontId="14" fillId="11" borderId="0" xfId="41" applyFont="1" applyFill="1" applyAlignment="1">
      <alignment horizontal="center" vertical="center" wrapText="1"/>
    </xf>
    <xf numFmtId="0" fontId="1" fillId="0" borderId="7" xfId="41" applyFont="1" applyBorder="1" applyAlignment="1">
      <alignment horizontal="center" vertical="center" wrapText="1"/>
    </xf>
    <xf numFmtId="0" fontId="1" fillId="0" borderId="5" xfId="41" applyFont="1" applyBorder="1" applyAlignment="1">
      <alignment horizontal="center" vertical="center" wrapText="1"/>
    </xf>
    <xf numFmtId="0" fontId="14" fillId="0" borderId="8" xfId="41" applyFont="1" applyBorder="1" applyAlignment="1">
      <alignment vertical="center" wrapText="1"/>
    </xf>
    <xf numFmtId="0" fontId="1" fillId="0" borderId="7" xfId="41" applyFont="1" applyBorder="1" applyAlignment="1">
      <alignment horizontal="justify" vertical="center" wrapText="1"/>
    </xf>
    <xf numFmtId="172" fontId="1" fillId="0" borderId="4" xfId="0" applyNumberFormat="1" applyFont="1" applyBorder="1" applyAlignment="1">
      <alignment horizontal="center" vertical="center" wrapText="1"/>
    </xf>
    <xf numFmtId="171" fontId="1" fillId="0" borderId="7" xfId="41" applyNumberFormat="1" applyFont="1" applyBorder="1" applyAlignment="1">
      <alignment horizontal="center" vertical="center" wrapText="1"/>
    </xf>
    <xf numFmtId="172" fontId="25" fillId="0" borderId="9" xfId="41" applyNumberFormat="1" applyFont="1" applyBorder="1" applyAlignment="1">
      <alignment horizontal="center" vertical="center" wrapText="1"/>
    </xf>
    <xf numFmtId="0" fontId="8" fillId="3" borderId="0" xfId="41" applyFont="1" applyFill="1" applyAlignment="1">
      <alignment vertical="center" wrapText="1"/>
    </xf>
    <xf numFmtId="10" fontId="1" fillId="0" borderId="4" xfId="0" applyNumberFormat="1" applyFont="1" applyBorder="1" applyAlignment="1">
      <alignment horizontal="center" vertical="center" wrapText="1"/>
    </xf>
    <xf numFmtId="10" fontId="4" fillId="3" borderId="0" xfId="0" applyNumberFormat="1" applyFont="1" applyFill="1" applyAlignment="1">
      <alignment vertical="center"/>
    </xf>
    <xf numFmtId="3" fontId="0" fillId="13" borderId="0" xfId="0" applyFill="1">
      <alignment wrapText="1"/>
    </xf>
    <xf numFmtId="184" fontId="0" fillId="13" borderId="0" xfId="23" applyNumberFormat="1" applyFont="1" applyFill="1" applyAlignment="1">
      <alignment horizontal="right"/>
    </xf>
    <xf numFmtId="4" fontId="0" fillId="3" borderId="0" xfId="0" applyNumberFormat="1" applyFill="1" applyAlignment="1">
      <alignment vertical="center"/>
    </xf>
    <xf numFmtId="3" fontId="4" fillId="17" borderId="0" xfId="0" applyFont="1" applyFill="1">
      <alignment wrapText="1"/>
    </xf>
    <xf numFmtId="3" fontId="0" fillId="17" borderId="0" xfId="0" applyFill="1">
      <alignment wrapText="1"/>
    </xf>
    <xf numFmtId="3" fontId="8" fillId="17" borderId="0" xfId="0" applyFont="1" applyFill="1">
      <alignment wrapText="1"/>
    </xf>
    <xf numFmtId="3" fontId="0" fillId="0" borderId="13" xfId="0" applyBorder="1">
      <alignment wrapText="1"/>
    </xf>
    <xf numFmtId="3" fontId="0" fillId="3" borderId="13" xfId="0" applyFill="1" applyBorder="1">
      <alignment wrapText="1"/>
    </xf>
    <xf numFmtId="3" fontId="4" fillId="0" borderId="13" xfId="0" applyFont="1" applyBorder="1">
      <alignment wrapText="1"/>
    </xf>
    <xf numFmtId="3" fontId="0" fillId="0" borderId="13" xfId="0" applyBorder="1" applyAlignment="1">
      <alignment horizontal="center"/>
    </xf>
    <xf numFmtId="3" fontId="0" fillId="0" borderId="16" xfId="0" applyBorder="1">
      <alignment wrapText="1"/>
    </xf>
    <xf numFmtId="3" fontId="12" fillId="0" borderId="13" xfId="0" applyFont="1" applyBorder="1">
      <alignment wrapText="1"/>
    </xf>
    <xf numFmtId="0" fontId="4" fillId="0" borderId="13" xfId="41" applyBorder="1"/>
    <xf numFmtId="3" fontId="36" fillId="3" borderId="0" xfId="0" applyFont="1" applyFill="1">
      <alignment wrapText="1"/>
    </xf>
    <xf numFmtId="3" fontId="0" fillId="3" borderId="13" xfId="0" applyFill="1" applyBorder="1" applyAlignment="1">
      <alignment vertical="center"/>
    </xf>
    <xf numFmtId="3" fontId="0" fillId="0" borderId="17" xfId="0" applyBorder="1">
      <alignment wrapText="1"/>
    </xf>
    <xf numFmtId="3" fontId="0" fillId="0" borderId="15" xfId="0" applyBorder="1">
      <alignment wrapText="1"/>
    </xf>
    <xf numFmtId="3" fontId="8" fillId="0" borderId="13" xfId="0" applyFont="1" applyBorder="1" applyAlignment="1">
      <alignment horizontal="center" vertical="center" wrapText="1"/>
    </xf>
    <xf numFmtId="49" fontId="4" fillId="0" borderId="13" xfId="0" applyNumberFormat="1" applyFont="1" applyBorder="1" applyAlignment="1">
      <alignment horizontal="center" vertical="center"/>
    </xf>
    <xf numFmtId="181" fontId="0" fillId="0" borderId="13" xfId="38" applyNumberFormat="1" applyFont="1" applyFill="1" applyBorder="1" applyAlignment="1" applyProtection="1">
      <alignment horizontal="center" vertical="center"/>
    </xf>
    <xf numFmtId="3" fontId="8" fillId="0" borderId="13" xfId="0" applyFont="1" applyBorder="1" applyAlignment="1">
      <alignment horizontal="center"/>
    </xf>
    <xf numFmtId="0" fontId="4" fillId="3" borderId="13" xfId="41" applyFill="1" applyBorder="1"/>
    <xf numFmtId="0" fontId="10" fillId="3" borderId="13" xfId="41" applyFont="1" applyFill="1" applyBorder="1" applyAlignment="1">
      <alignment horizontal="center" vertical="top" wrapText="1"/>
    </xf>
    <xf numFmtId="0" fontId="4" fillId="0" borderId="13" xfId="41" applyBorder="1" applyAlignment="1">
      <alignment horizontal="center" vertical="top" wrapText="1"/>
    </xf>
    <xf numFmtId="4" fontId="4" fillId="0" borderId="13" xfId="41" applyNumberFormat="1" applyBorder="1" applyAlignment="1">
      <alignment horizontal="center" vertical="top" wrapText="1"/>
    </xf>
    <xf numFmtId="0" fontId="4" fillId="3" borderId="13" xfId="41" applyFill="1" applyBorder="1" applyAlignment="1">
      <alignment horizontal="center" vertical="top" wrapText="1"/>
    </xf>
    <xf numFmtId="4" fontId="4" fillId="3" borderId="13" xfId="41" applyNumberFormat="1" applyFill="1" applyBorder="1" applyAlignment="1">
      <alignment horizontal="center" vertical="top" wrapText="1"/>
    </xf>
    <xf numFmtId="0" fontId="4" fillId="3" borderId="16" xfId="41" applyFill="1" applyBorder="1"/>
    <xf numFmtId="0" fontId="4" fillId="0" borderId="17" xfId="41" applyBorder="1"/>
    <xf numFmtId="0" fontId="8" fillId="0" borderId="16" xfId="41" applyFont="1" applyBorder="1" applyAlignment="1">
      <alignment horizontal="right" vertical="center" wrapText="1"/>
    </xf>
    <xf numFmtId="3" fontId="8" fillId="0" borderId="16" xfId="41" applyNumberFormat="1" applyFont="1" applyBorder="1" applyAlignment="1">
      <alignment horizontal="center" vertical="center" wrapText="1"/>
    </xf>
    <xf numFmtId="3" fontId="4" fillId="3" borderId="16" xfId="41" applyNumberFormat="1" applyFill="1" applyBorder="1"/>
    <xf numFmtId="0" fontId="8" fillId="0" borderId="13" xfId="53" applyFont="1" applyBorder="1" applyAlignment="1">
      <alignment horizontal="center" vertical="center" wrapText="1"/>
    </xf>
    <xf numFmtId="10" fontId="0" fillId="0" borderId="17" xfId="0" applyNumberFormat="1" applyBorder="1">
      <alignment wrapText="1"/>
    </xf>
    <xf numFmtId="0" fontId="1" fillId="0" borderId="16" xfId="41" applyFont="1" applyBorder="1" applyAlignment="1">
      <alignment horizontal="left" vertical="center"/>
    </xf>
    <xf numFmtId="4" fontId="0" fillId="0" borderId="13" xfId="0" applyNumberFormat="1" applyBorder="1">
      <alignment wrapText="1"/>
    </xf>
    <xf numFmtId="3" fontId="0" fillId="3" borderId="18" xfId="0" applyFill="1" applyBorder="1">
      <alignment wrapText="1"/>
    </xf>
    <xf numFmtId="3" fontId="0" fillId="3" borderId="18" xfId="0" applyFill="1" applyBorder="1" applyAlignment="1">
      <alignment horizontal="left" vertical="center"/>
    </xf>
    <xf numFmtId="3" fontId="0" fillId="3" borderId="18" xfId="0" applyFill="1" applyBorder="1" applyAlignment="1">
      <alignment horizontal="center"/>
    </xf>
    <xf numFmtId="0" fontId="11" fillId="0" borderId="13" xfId="22" applyBorder="1"/>
    <xf numFmtId="0" fontId="21" fillId="0" borderId="13" xfId="41" applyFont="1" applyBorder="1" applyAlignment="1">
      <alignment horizontal="center" vertical="center" wrapText="1"/>
    </xf>
    <xf numFmtId="0" fontId="1" fillId="0" borderId="13" xfId="41" applyFont="1" applyBorder="1" applyAlignment="1">
      <alignment horizontal="center" vertical="center" wrapText="1"/>
    </xf>
    <xf numFmtId="0" fontId="14" fillId="0" borderId="13" xfId="41" applyFont="1" applyBorder="1" applyAlignment="1">
      <alignment horizontal="center" vertical="center" wrapText="1"/>
    </xf>
    <xf numFmtId="0" fontId="1" fillId="0" borderId="13" xfId="41" applyFont="1" applyBorder="1" applyAlignment="1">
      <alignment horizontal="left" vertical="center"/>
    </xf>
    <xf numFmtId="3" fontId="14" fillId="0" borderId="13" xfId="41" applyNumberFormat="1" applyFont="1" applyBorder="1" applyAlignment="1">
      <alignment horizontal="center" vertical="center" wrapText="1"/>
    </xf>
    <xf numFmtId="3" fontId="20" fillId="0" borderId="13" xfId="0" applyFont="1" applyBorder="1" applyAlignment="1">
      <alignment horizontal="center" vertical="center" wrapText="1"/>
    </xf>
    <xf numFmtId="0" fontId="21" fillId="0" borderId="13" xfId="41" applyFont="1" applyBorder="1" applyAlignment="1">
      <alignment horizontal="left" vertical="center"/>
    </xf>
    <xf numFmtId="3" fontId="14" fillId="0" borderId="13" xfId="0" applyFont="1" applyBorder="1" applyAlignment="1">
      <alignment horizontal="center" vertical="center"/>
    </xf>
    <xf numFmtId="0" fontId="25" fillId="0" borderId="13" xfId="41" applyFont="1" applyBorder="1" applyAlignment="1">
      <alignment horizontal="center" vertical="center" wrapText="1"/>
    </xf>
    <xf numFmtId="10" fontId="21" fillId="0" borderId="13" xfId="41" applyNumberFormat="1" applyFont="1" applyBorder="1" applyAlignment="1">
      <alignment horizontal="center" vertical="center" wrapText="1"/>
    </xf>
    <xf numFmtId="177" fontId="21" fillId="0" borderId="13" xfId="41" applyNumberFormat="1" applyFont="1" applyBorder="1" applyAlignment="1">
      <alignment horizontal="center" vertical="center" wrapText="1"/>
    </xf>
    <xf numFmtId="177" fontId="0" fillId="3" borderId="13" xfId="0" applyNumberFormat="1" applyFill="1" applyBorder="1" applyAlignment="1">
      <alignment vertical="center"/>
    </xf>
    <xf numFmtId="4" fontId="1" fillId="0" borderId="13" xfId="41" applyNumberFormat="1" applyFont="1" applyBorder="1" applyAlignment="1">
      <alignment horizontal="center" vertical="center" wrapText="1"/>
    </xf>
    <xf numFmtId="3" fontId="8" fillId="0" borderId="13" xfId="0" applyFont="1" applyBorder="1" applyAlignment="1">
      <alignment horizontal="center" vertical="center"/>
    </xf>
    <xf numFmtId="0" fontId="27" fillId="0" borderId="13" xfId="41" applyFont="1" applyBorder="1" applyAlignment="1">
      <alignment horizontal="center" vertical="center" wrapText="1"/>
    </xf>
    <xf numFmtId="0" fontId="27" fillId="0" borderId="13" xfId="41" applyFont="1" applyBorder="1" applyAlignment="1">
      <alignment vertical="top" wrapText="1"/>
    </xf>
    <xf numFmtId="0" fontId="1" fillId="0" borderId="13" xfId="41" applyFont="1" applyBorder="1" applyAlignment="1">
      <alignment vertical="center" wrapText="1"/>
    </xf>
    <xf numFmtId="0" fontId="14" fillId="0" borderId="17" xfId="41" applyFont="1" applyBorder="1" applyAlignment="1">
      <alignment horizontal="center" vertical="center" wrapText="1"/>
    </xf>
    <xf numFmtId="0" fontId="1" fillId="0" borderId="17" xfId="41" applyFont="1" applyBorder="1" applyAlignment="1">
      <alignment horizontal="center" vertical="center" wrapText="1"/>
    </xf>
    <xf numFmtId="0" fontId="21" fillId="0" borderId="17" xfId="41" applyFont="1" applyBorder="1" applyAlignment="1">
      <alignment horizontal="center" vertical="center" wrapText="1"/>
    </xf>
    <xf numFmtId="3" fontId="14" fillId="0" borderId="17" xfId="0" applyFont="1" applyBorder="1" applyAlignment="1">
      <alignment horizontal="center" vertical="center"/>
    </xf>
    <xf numFmtId="0" fontId="26" fillId="0" borderId="17" xfId="41" applyFont="1" applyBorder="1" applyAlignment="1">
      <alignment horizontal="left" vertical="center" wrapText="1"/>
    </xf>
    <xf numFmtId="3" fontId="14" fillId="0" borderId="17" xfId="41" applyNumberFormat="1" applyFont="1" applyBorder="1" applyAlignment="1">
      <alignment horizontal="center" vertical="center" wrapText="1"/>
    </xf>
    <xf numFmtId="0" fontId="21" fillId="0" borderId="17" xfId="41" applyFont="1" applyBorder="1" applyAlignment="1">
      <alignment horizontal="left" vertical="center"/>
    </xf>
    <xf numFmtId="0" fontId="25" fillId="0" borderId="17" xfId="41" applyFont="1" applyBorder="1" applyAlignment="1">
      <alignment horizontal="center" vertical="center" wrapText="1"/>
    </xf>
    <xf numFmtId="3" fontId="13" fillId="0" borderId="17" xfId="0" applyFont="1" applyBorder="1" applyAlignment="1">
      <alignment horizontal="center" vertical="center" wrapText="1"/>
    </xf>
    <xf numFmtId="0" fontId="27" fillId="0" borderId="17" xfId="41" applyFont="1" applyBorder="1" applyAlignment="1">
      <alignment horizontal="left" vertical="center"/>
    </xf>
    <xf numFmtId="0" fontId="1" fillId="0" borderId="17" xfId="41" applyFont="1" applyBorder="1" applyAlignment="1">
      <alignment horizontal="left" vertical="center"/>
    </xf>
    <xf numFmtId="0" fontId="27" fillId="0" borderId="17" xfId="41" applyFont="1" applyBorder="1" applyAlignment="1">
      <alignment horizontal="center" vertical="center" wrapText="1"/>
    </xf>
    <xf numFmtId="0" fontId="1" fillId="0" borderId="17" xfId="41" applyFont="1" applyBorder="1" applyAlignment="1">
      <alignment vertical="center" wrapText="1"/>
    </xf>
    <xf numFmtId="0" fontId="25" fillId="0" borderId="10" xfId="41" applyFont="1" applyBorder="1" applyAlignment="1">
      <alignment horizontal="center" vertical="center" wrapText="1"/>
    </xf>
    <xf numFmtId="0" fontId="28" fillId="0" borderId="17" xfId="41" applyFont="1" applyBorder="1" applyAlignment="1">
      <alignment horizontal="left" vertical="center" wrapText="1"/>
    </xf>
    <xf numFmtId="3" fontId="8" fillId="13" borderId="13" xfId="0" applyFont="1" applyFill="1" applyBorder="1">
      <alignment wrapText="1"/>
    </xf>
    <xf numFmtId="3" fontId="0" fillId="13" borderId="13" xfId="0" applyFill="1" applyBorder="1">
      <alignment wrapText="1"/>
    </xf>
    <xf numFmtId="3" fontId="9" fillId="13" borderId="13" xfId="0" applyFont="1" applyFill="1" applyBorder="1" applyAlignment="1">
      <alignment horizontal="left"/>
    </xf>
    <xf numFmtId="3" fontId="18" fillId="0" borderId="16" xfId="0" applyFont="1" applyBorder="1">
      <alignment wrapText="1"/>
    </xf>
    <xf numFmtId="3" fontId="0" fillId="13" borderId="16" xfId="0" applyFill="1" applyBorder="1">
      <alignment wrapText="1"/>
    </xf>
    <xf numFmtId="3" fontId="4" fillId="0" borderId="16" xfId="0" applyFont="1" applyBorder="1" applyAlignment="1">
      <alignment horizontal="left" vertical="center" wrapText="1"/>
    </xf>
    <xf numFmtId="3" fontId="4" fillId="0" borderId="16" xfId="0" applyFont="1" applyBorder="1" applyAlignment="1">
      <alignment horizontal="center" vertical="center" wrapText="1"/>
    </xf>
    <xf numFmtId="3" fontId="13" fillId="3" borderId="13" xfId="0" applyFont="1" applyFill="1" applyBorder="1" applyAlignment="1">
      <alignment vertical="center"/>
    </xf>
    <xf numFmtId="3" fontId="13" fillId="3" borderId="13" xfId="0" applyFont="1" applyFill="1" applyBorder="1" applyAlignment="1">
      <alignment horizontal="left" vertical="center"/>
    </xf>
    <xf numFmtId="3" fontId="15" fillId="3" borderId="13" xfId="0" applyFont="1" applyFill="1" applyBorder="1" applyAlignment="1">
      <alignment vertical="center"/>
    </xf>
    <xf numFmtId="3" fontId="13" fillId="3" borderId="13" xfId="0" applyFont="1" applyFill="1" applyBorder="1" applyAlignment="1">
      <alignment horizontal="center"/>
    </xf>
    <xf numFmtId="3" fontId="0" fillId="3" borderId="13" xfId="0" applyFill="1" applyBorder="1" applyAlignment="1">
      <alignment horizontal="left" vertical="center"/>
    </xf>
    <xf numFmtId="3" fontId="0" fillId="17" borderId="0" xfId="0" applyFill="1" applyAlignment="1">
      <alignment horizontal="center"/>
    </xf>
    <xf numFmtId="3" fontId="4" fillId="17" borderId="0" xfId="0" applyFont="1" applyFill="1" applyAlignment="1">
      <alignment vertical="center"/>
    </xf>
    <xf numFmtId="0" fontId="36" fillId="3" borderId="0" xfId="41" applyFont="1" applyFill="1" applyAlignment="1">
      <alignment vertical="center"/>
    </xf>
    <xf numFmtId="3" fontId="8" fillId="17" borderId="0" xfId="0" applyFont="1" applyFill="1" applyAlignment="1">
      <alignment horizontal="center" vertical="center" wrapText="1"/>
    </xf>
    <xf numFmtId="3" fontId="14" fillId="13" borderId="13" xfId="0" applyFont="1" applyFill="1" applyBorder="1">
      <alignment wrapText="1"/>
    </xf>
    <xf numFmtId="3" fontId="9" fillId="17" borderId="0" xfId="0" applyFont="1" applyFill="1">
      <alignment wrapText="1"/>
    </xf>
    <xf numFmtId="3" fontId="0" fillId="17" borderId="0" xfId="0" applyFill="1" applyAlignment="1">
      <alignment vertical="center"/>
    </xf>
    <xf numFmtId="3" fontId="8" fillId="17" borderId="0" xfId="0" applyFont="1" applyFill="1" applyAlignment="1">
      <alignment vertical="center"/>
    </xf>
    <xf numFmtId="3" fontId="0" fillId="3" borderId="13" xfId="0" applyFill="1" applyBorder="1" applyAlignment="1">
      <alignment horizontal="center"/>
    </xf>
    <xf numFmtId="3" fontId="0" fillId="18" borderId="13" xfId="0" applyFill="1" applyBorder="1">
      <alignment wrapText="1"/>
    </xf>
    <xf numFmtId="0" fontId="4" fillId="18" borderId="13" xfId="41" applyFill="1" applyBorder="1"/>
    <xf numFmtId="3" fontId="0" fillId="17" borderId="0" xfId="0" applyFill="1" applyAlignment="1">
      <alignment horizontal="left" vertical="center" wrapText="1"/>
    </xf>
    <xf numFmtId="3" fontId="4" fillId="17" borderId="0" xfId="0" applyFont="1" applyFill="1" applyAlignment="1">
      <alignment horizontal="center"/>
    </xf>
    <xf numFmtId="0" fontId="21" fillId="0" borderId="17" xfId="41" applyFont="1" applyBorder="1" applyAlignment="1">
      <alignment horizontal="center" vertical="top" wrapText="1"/>
    </xf>
    <xf numFmtId="172" fontId="22" fillId="0" borderId="13" xfId="0" applyNumberFormat="1" applyFont="1" applyBorder="1" applyAlignment="1">
      <alignment horizontal="center" vertical="top"/>
    </xf>
    <xf numFmtId="172" fontId="12" fillId="0" borderId="13" xfId="0" applyNumberFormat="1" applyFont="1" applyBorder="1" applyAlignment="1">
      <alignment horizontal="center" vertical="top"/>
    </xf>
    <xf numFmtId="3" fontId="26" fillId="0" borderId="13" xfId="41" applyNumberFormat="1" applyFont="1" applyBorder="1" applyAlignment="1">
      <alignment horizontal="center" vertical="top"/>
    </xf>
    <xf numFmtId="0" fontId="14" fillId="0" borderId="17" xfId="41" applyFont="1" applyBorder="1" applyAlignment="1">
      <alignment horizontal="center" vertical="top" wrapText="1"/>
    </xf>
    <xf numFmtId="3" fontId="14" fillId="0" borderId="13" xfId="41" applyNumberFormat="1" applyFont="1" applyBorder="1" applyAlignment="1">
      <alignment horizontal="center" vertical="top" wrapText="1"/>
    </xf>
    <xf numFmtId="0" fontId="1" fillId="0" borderId="20" xfId="41" applyFont="1" applyBorder="1" applyAlignment="1">
      <alignment horizontal="center" vertical="center" wrapText="1"/>
    </xf>
    <xf numFmtId="0" fontId="14" fillId="0" borderId="13" xfId="41" applyFont="1" applyBorder="1" applyAlignment="1">
      <alignment vertical="center" wrapText="1"/>
    </xf>
    <xf numFmtId="0" fontId="1" fillId="0" borderId="16" xfId="41" applyFont="1" applyBorder="1" applyAlignment="1">
      <alignment horizontal="left" vertical="center" wrapText="1"/>
    </xf>
    <xf numFmtId="0" fontId="1" fillId="0" borderId="15" xfId="41" applyFont="1" applyBorder="1" applyAlignment="1">
      <alignment horizontal="center" vertical="center" wrapText="1"/>
    </xf>
    <xf numFmtId="0" fontId="14" fillId="0" borderId="15" xfId="41" applyFont="1" applyBorder="1" applyAlignment="1">
      <alignment vertical="center" wrapText="1"/>
    </xf>
    <xf numFmtId="0" fontId="21" fillId="0" borderId="15" xfId="41" applyFont="1" applyBorder="1" applyAlignment="1">
      <alignment horizontal="center" vertical="center" wrapText="1"/>
    </xf>
    <xf numFmtId="0" fontId="14" fillId="0" borderId="17" xfId="41" applyFont="1" applyBorder="1" applyAlignment="1">
      <alignment vertical="center" wrapText="1"/>
    </xf>
    <xf numFmtId="0" fontId="26" fillId="0" borderId="33" xfId="41" applyFont="1" applyBorder="1" applyAlignment="1">
      <alignment horizontal="left" vertical="center" wrapText="1"/>
    </xf>
    <xf numFmtId="3" fontId="26" fillId="0" borderId="34" xfId="41" applyNumberFormat="1" applyFont="1" applyBorder="1" applyAlignment="1">
      <alignment horizontal="center" vertical="center"/>
    </xf>
    <xf numFmtId="10" fontId="4" fillId="3" borderId="16" xfId="0" applyNumberFormat="1" applyFont="1" applyFill="1" applyBorder="1" applyAlignment="1">
      <alignment vertical="center"/>
    </xf>
    <xf numFmtId="10" fontId="4" fillId="3" borderId="16" xfId="0" applyNumberFormat="1" applyFont="1" applyFill="1" applyBorder="1" applyAlignment="1">
      <alignment horizontal="left" vertical="center"/>
    </xf>
    <xf numFmtId="3" fontId="0" fillId="0" borderId="25" xfId="0" applyBorder="1">
      <alignment wrapText="1"/>
    </xf>
    <xf numFmtId="3" fontId="8" fillId="0" borderId="38" xfId="0" applyFont="1" applyBorder="1" applyAlignment="1">
      <alignment vertical="center" wrapText="1"/>
    </xf>
    <xf numFmtId="3" fontId="4" fillId="0" borderId="38" xfId="0" applyFont="1" applyBorder="1" applyAlignment="1">
      <alignment horizontal="center" vertical="center" wrapText="1"/>
    </xf>
    <xf numFmtId="3" fontId="4" fillId="20" borderId="38" xfId="0" applyFont="1" applyFill="1" applyBorder="1" applyAlignment="1">
      <alignment horizontal="center" vertical="center" wrapText="1"/>
    </xf>
    <xf numFmtId="3" fontId="4" fillId="0" borderId="39" xfId="0" applyFont="1" applyBorder="1" applyAlignment="1">
      <alignment vertical="center" wrapText="1"/>
    </xf>
    <xf numFmtId="3" fontId="36" fillId="0" borderId="39" xfId="0" applyFont="1" applyBorder="1" applyAlignment="1">
      <alignment horizontal="center" vertical="center" wrapText="1"/>
    </xf>
    <xf numFmtId="3" fontId="36" fillId="20" borderId="39" xfId="0" applyFont="1" applyFill="1" applyBorder="1" applyAlignment="1">
      <alignment horizontal="center" vertical="center" wrapText="1"/>
    </xf>
    <xf numFmtId="3" fontId="39" fillId="0" borderId="39" xfId="0" applyFont="1" applyBorder="1" applyAlignment="1">
      <alignment horizontal="center" vertical="center" wrapText="1"/>
    </xf>
    <xf numFmtId="3" fontId="39" fillId="20" borderId="39" xfId="0" applyFont="1" applyFill="1" applyBorder="1" applyAlignment="1">
      <alignment horizontal="center" vertical="center" wrapText="1"/>
    </xf>
    <xf numFmtId="0" fontId="1" fillId="18" borderId="7" xfId="41" applyFont="1" applyFill="1" applyBorder="1" applyAlignment="1">
      <alignment horizontal="justify" vertical="center" wrapText="1"/>
    </xf>
    <xf numFmtId="172" fontId="40" fillId="0" borderId="5" xfId="41" applyNumberFormat="1" applyFont="1" applyBorder="1" applyAlignment="1">
      <alignment horizontal="center" vertical="center" wrapText="1"/>
    </xf>
    <xf numFmtId="171" fontId="40" fillId="18" borderId="5" xfId="41" applyNumberFormat="1" applyFont="1" applyFill="1" applyBorder="1" applyAlignment="1">
      <alignment horizontal="center" vertical="center" wrapText="1"/>
    </xf>
    <xf numFmtId="171" fontId="37" fillId="0" borderId="5" xfId="41" applyNumberFormat="1" applyFont="1" applyBorder="1" applyAlignment="1">
      <alignment horizontal="center" vertical="center" wrapText="1"/>
    </xf>
    <xf numFmtId="171" fontId="37" fillId="18" borderId="5" xfId="41" applyNumberFormat="1" applyFont="1" applyFill="1" applyBorder="1" applyAlignment="1">
      <alignment horizontal="center" vertical="center" wrapText="1"/>
    </xf>
    <xf numFmtId="3" fontId="0" fillId="17" borderId="0" xfId="0" applyFill="1" applyAlignment="1">
      <alignment horizontal="left" vertical="center"/>
    </xf>
    <xf numFmtId="2" fontId="1" fillId="18" borderId="4" xfId="41" applyNumberFormat="1" applyFont="1" applyFill="1" applyBorder="1" applyAlignment="1">
      <alignment horizontal="center" vertical="center" wrapText="1"/>
    </xf>
    <xf numFmtId="0" fontId="1" fillId="18" borderId="5" xfId="41" applyFont="1" applyFill="1" applyBorder="1" applyAlignment="1">
      <alignment horizontal="center" vertical="center" wrapText="1"/>
    </xf>
    <xf numFmtId="3" fontId="36" fillId="18" borderId="37" xfId="0" applyFont="1" applyFill="1" applyBorder="1" applyAlignment="1">
      <alignment horizontal="center" vertical="center" wrapText="1"/>
    </xf>
    <xf numFmtId="10" fontId="0" fillId="3" borderId="0" xfId="0" applyNumberFormat="1" applyFill="1">
      <alignment wrapText="1"/>
    </xf>
    <xf numFmtId="9" fontId="0" fillId="13" borderId="0" xfId="23" applyNumberFormat="1" applyFont="1" applyFill="1" applyAlignment="1">
      <alignment horizontal="right"/>
    </xf>
    <xf numFmtId="3" fontId="4" fillId="13" borderId="0" xfId="0" applyFont="1" applyFill="1">
      <alignment wrapText="1"/>
    </xf>
    <xf numFmtId="172" fontId="37" fillId="18" borderId="5" xfId="41" applyNumberFormat="1" applyFont="1" applyFill="1" applyBorder="1" applyAlignment="1">
      <alignment horizontal="center" vertical="center" wrapText="1"/>
    </xf>
    <xf numFmtId="0" fontId="25" fillId="0" borderId="35" xfId="41" applyFont="1" applyBorder="1" applyAlignment="1">
      <alignment horizontal="center" vertical="center" wrapText="1"/>
    </xf>
    <xf numFmtId="171" fontId="43" fillId="18" borderId="5" xfId="41" applyNumberFormat="1" applyFont="1" applyFill="1" applyBorder="1" applyAlignment="1">
      <alignment horizontal="center" vertical="center" wrapText="1"/>
    </xf>
    <xf numFmtId="171" fontId="1" fillId="18" borderId="5" xfId="41" applyNumberFormat="1" applyFont="1" applyFill="1" applyBorder="1" applyAlignment="1">
      <alignment horizontal="center" vertical="center" wrapText="1"/>
    </xf>
    <xf numFmtId="0" fontId="4" fillId="18" borderId="17" xfId="41" applyFill="1" applyBorder="1"/>
    <xf numFmtId="3" fontId="4" fillId="18" borderId="17" xfId="41" applyNumberFormat="1" applyFill="1" applyBorder="1"/>
    <xf numFmtId="3" fontId="4" fillId="17" borderId="0" xfId="0" applyFont="1" applyFill="1" applyAlignment="1">
      <alignment horizontal="left" vertical="center"/>
    </xf>
    <xf numFmtId="172" fontId="1" fillId="18" borderId="5" xfId="62" applyNumberFormat="1" applyFont="1" applyFill="1" applyBorder="1" applyAlignment="1" applyProtection="1">
      <alignment horizontal="center" vertical="center" wrapText="1"/>
    </xf>
    <xf numFmtId="0" fontId="14" fillId="18" borderId="13" xfId="41" applyFont="1" applyFill="1" applyBorder="1" applyAlignment="1">
      <alignment horizontal="center" vertical="center" wrapText="1"/>
    </xf>
    <xf numFmtId="174" fontId="14" fillId="18" borderId="17" xfId="41" applyNumberFormat="1" applyFont="1" applyFill="1" applyBorder="1" applyAlignment="1">
      <alignment horizontal="center" vertical="center" wrapText="1"/>
    </xf>
    <xf numFmtId="0" fontId="14" fillId="0" borderId="13" xfId="41" applyFont="1" applyBorder="1" applyAlignment="1">
      <alignment horizontal="left" vertical="center"/>
    </xf>
    <xf numFmtId="3" fontId="4" fillId="18" borderId="38" xfId="0" applyFont="1" applyFill="1" applyBorder="1" applyAlignment="1">
      <alignment horizontal="center" vertical="center" wrapText="1"/>
    </xf>
    <xf numFmtId="3" fontId="0" fillId="18" borderId="13" xfId="0" applyFill="1" applyBorder="1" applyAlignment="1">
      <alignment vertical="center"/>
    </xf>
    <xf numFmtId="3" fontId="9" fillId="18" borderId="13" xfId="0" applyFont="1" applyFill="1" applyBorder="1" applyAlignment="1">
      <alignment horizontal="left" vertical="center"/>
    </xf>
    <xf numFmtId="3" fontId="0" fillId="18" borderId="13" xfId="0" applyFill="1" applyBorder="1" applyAlignment="1">
      <alignment horizontal="left" vertical="center"/>
    </xf>
    <xf numFmtId="3" fontId="0" fillId="18" borderId="13" xfId="0" applyFill="1" applyBorder="1" applyAlignment="1">
      <alignment horizontal="center"/>
    </xf>
    <xf numFmtId="3" fontId="35" fillId="17" borderId="0" xfId="0" applyFont="1" applyFill="1">
      <alignment wrapText="1"/>
    </xf>
    <xf numFmtId="171" fontId="44" fillId="18" borderId="5" xfId="41" applyNumberFormat="1" applyFont="1" applyFill="1" applyBorder="1" applyAlignment="1">
      <alignment horizontal="center" vertical="center" wrapText="1"/>
    </xf>
    <xf numFmtId="0" fontId="36" fillId="0" borderId="17" xfId="41" applyFont="1" applyBorder="1"/>
    <xf numFmtId="177" fontId="1" fillId="18" borderId="13" xfId="41" applyNumberFormat="1" applyFont="1" applyFill="1" applyBorder="1" applyAlignment="1">
      <alignment horizontal="center" vertical="center" wrapText="1"/>
    </xf>
    <xf numFmtId="4" fontId="14" fillId="18" borderId="13" xfId="41" applyNumberFormat="1" applyFont="1" applyFill="1" applyBorder="1" applyAlignment="1">
      <alignment horizontal="center" vertical="center" wrapText="1"/>
    </xf>
    <xf numFmtId="3" fontId="8" fillId="21" borderId="13" xfId="0" applyFont="1" applyFill="1" applyBorder="1" applyAlignment="1">
      <alignment horizontal="center" vertical="center" wrapText="1"/>
    </xf>
    <xf numFmtId="4" fontId="4" fillId="18" borderId="13" xfId="0" applyNumberFormat="1" applyFont="1" applyFill="1" applyBorder="1" applyAlignment="1">
      <alignment horizontal="right" vertical="center"/>
    </xf>
    <xf numFmtId="3" fontId="4" fillId="18" borderId="13" xfId="0" applyFont="1" applyFill="1" applyBorder="1" applyAlignment="1">
      <alignment horizontal="right" vertical="center"/>
    </xf>
    <xf numFmtId="3" fontId="2" fillId="18" borderId="13" xfId="0" applyFont="1" applyFill="1" applyBorder="1" applyAlignment="1">
      <alignment horizontal="right" vertical="center" wrapText="1"/>
    </xf>
    <xf numFmtId="3" fontId="4" fillId="18" borderId="13" xfId="0" applyFont="1" applyFill="1" applyBorder="1" applyAlignment="1">
      <alignment horizontal="center" vertical="center"/>
    </xf>
    <xf numFmtId="3" fontId="4" fillId="17" borderId="13" xfId="0" applyFont="1" applyFill="1" applyBorder="1" applyAlignment="1">
      <alignment vertical="center"/>
    </xf>
    <xf numFmtId="4" fontId="8" fillId="19" borderId="13" xfId="0" applyNumberFormat="1" applyFont="1" applyFill="1" applyBorder="1" applyAlignment="1">
      <alignment horizontal="right" vertical="center"/>
    </xf>
    <xf numFmtId="3" fontId="8" fillId="19" borderId="13" xfId="0" applyFont="1" applyFill="1" applyBorder="1" applyAlignment="1">
      <alignment horizontal="right" vertical="center"/>
    </xf>
    <xf numFmtId="3" fontId="8" fillId="19" borderId="13" xfId="0" applyFont="1" applyFill="1" applyBorder="1" applyAlignment="1">
      <alignment horizontal="center" vertical="center"/>
    </xf>
    <xf numFmtId="10" fontId="8" fillId="17" borderId="13" xfId="0" applyNumberFormat="1" applyFont="1" applyFill="1" applyBorder="1" applyAlignment="1">
      <alignment horizontal="center" vertical="center"/>
    </xf>
    <xf numFmtId="10" fontId="4" fillId="17" borderId="13" xfId="0" applyNumberFormat="1" applyFont="1" applyFill="1" applyBorder="1" applyAlignment="1">
      <alignment horizontal="center" vertical="center"/>
    </xf>
    <xf numFmtId="2" fontId="1" fillId="36" borderId="4" xfId="41" applyNumberFormat="1" applyFont="1" applyFill="1" applyBorder="1" applyAlignment="1">
      <alignment horizontal="center" vertical="center" wrapText="1"/>
    </xf>
    <xf numFmtId="0" fontId="36" fillId="3" borderId="0" xfId="41" applyFont="1" applyFill="1"/>
    <xf numFmtId="3" fontId="4" fillId="18" borderId="13" xfId="41" applyNumberFormat="1" applyFill="1" applyBorder="1"/>
    <xf numFmtId="172" fontId="14" fillId="0" borderId="13" xfId="41" applyNumberFormat="1" applyFont="1" applyBorder="1" applyAlignment="1">
      <alignment horizontal="center" vertical="top"/>
    </xf>
    <xf numFmtId="10" fontId="1" fillId="0" borderId="13" xfId="41" applyNumberFormat="1" applyFont="1" applyBorder="1" applyAlignment="1">
      <alignment horizontal="center" vertical="center" wrapText="1"/>
    </xf>
    <xf numFmtId="10" fontId="1" fillId="0" borderId="13" xfId="41" applyNumberFormat="1" applyFont="1" applyBorder="1" applyAlignment="1">
      <alignment horizontal="center" vertical="top" wrapText="1"/>
    </xf>
    <xf numFmtId="172" fontId="37" fillId="0" borderId="5" xfId="41" applyNumberFormat="1" applyFont="1" applyBorder="1" applyAlignment="1">
      <alignment horizontal="center" vertical="center" wrapText="1"/>
    </xf>
    <xf numFmtId="172" fontId="1" fillId="0" borderId="5" xfId="62" applyNumberFormat="1" applyFont="1" applyFill="1" applyBorder="1" applyAlignment="1" applyProtection="1">
      <alignment horizontal="center" vertical="center" wrapText="1"/>
    </xf>
    <xf numFmtId="186" fontId="29" fillId="3" borderId="0" xfId="59" applyNumberFormat="1" applyFill="1" applyBorder="1" applyAlignment="1">
      <alignment horizontal="left" vertical="center"/>
    </xf>
    <xf numFmtId="3" fontId="68" fillId="18" borderId="39" xfId="0" applyFont="1" applyFill="1" applyBorder="1" applyAlignment="1">
      <alignment horizontal="center" vertical="center" wrapText="1"/>
    </xf>
    <xf numFmtId="3" fontId="68" fillId="18" borderId="37" xfId="0" applyFont="1" applyFill="1" applyBorder="1" applyAlignment="1">
      <alignment horizontal="center" vertical="center" wrapText="1"/>
    </xf>
    <xf numFmtId="3" fontId="38" fillId="3" borderId="0" xfId="0" applyFont="1" applyFill="1" applyAlignment="1">
      <alignment vertical="distributed"/>
    </xf>
    <xf numFmtId="3" fontId="66" fillId="0" borderId="49" xfId="41" applyNumberFormat="1" applyFont="1" applyBorder="1" applyAlignment="1">
      <alignment horizontal="right" vertical="center"/>
    </xf>
    <xf numFmtId="172" fontId="14" fillId="18" borderId="16" xfId="41" applyNumberFormat="1" applyFont="1" applyFill="1" applyBorder="1" applyAlignment="1">
      <alignment horizontal="center" vertical="center"/>
    </xf>
    <xf numFmtId="3" fontId="65" fillId="0" borderId="13" xfId="41" applyNumberFormat="1" applyFont="1" applyBorder="1" applyAlignment="1">
      <alignment horizontal="right" vertical="center"/>
    </xf>
    <xf numFmtId="3" fontId="4" fillId="18" borderId="0" xfId="0" applyFont="1" applyFill="1" applyAlignment="1">
      <alignment vertical="center"/>
    </xf>
    <xf numFmtId="173" fontId="4" fillId="0" borderId="50" xfId="41" applyNumberFormat="1" applyBorder="1" applyAlignment="1">
      <alignment horizontal="right" vertical="center" indent="1"/>
    </xf>
    <xf numFmtId="3" fontId="0" fillId="0" borderId="17" xfId="0" applyBorder="1" applyAlignment="1">
      <alignment horizontal="center"/>
    </xf>
    <xf numFmtId="171" fontId="44" fillId="0" borderId="5" xfId="41" applyNumberFormat="1" applyFont="1" applyBorder="1" applyAlignment="1">
      <alignment horizontal="center" vertical="center" wrapText="1"/>
    </xf>
    <xf numFmtId="3" fontId="4" fillId="0" borderId="50" xfId="0" applyFont="1" applyBorder="1" applyAlignment="1">
      <alignment vertical="center" wrapText="1"/>
    </xf>
    <xf numFmtId="3" fontId="4" fillId="0" borderId="50" xfId="0" applyFont="1" applyBorder="1" applyAlignment="1">
      <alignment horizontal="center" vertical="center" wrapText="1"/>
    </xf>
    <xf numFmtId="3" fontId="4" fillId="20" borderId="50" xfId="0" applyFont="1" applyFill="1" applyBorder="1" applyAlignment="1">
      <alignment horizontal="center" vertical="center" wrapText="1"/>
    </xf>
    <xf numFmtId="3" fontId="4" fillId="16" borderId="50" xfId="0" applyFont="1" applyFill="1" applyBorder="1" applyAlignment="1">
      <alignment horizontal="center" vertical="center" wrapText="1"/>
    </xf>
    <xf numFmtId="186" fontId="67" fillId="3" borderId="0" xfId="165" applyNumberFormat="1" applyFont="1" applyFill="1" applyBorder="1"/>
    <xf numFmtId="181" fontId="70" fillId="3" borderId="0" xfId="23" applyNumberFormat="1" applyFont="1" applyFill="1" applyBorder="1"/>
    <xf numFmtId="187" fontId="70" fillId="3" borderId="0" xfId="0" applyNumberFormat="1" applyFont="1" applyFill="1">
      <alignment wrapText="1"/>
    </xf>
    <xf numFmtId="188" fontId="70" fillId="3" borderId="0" xfId="23" applyNumberFormat="1" applyFont="1" applyFill="1" applyBorder="1"/>
    <xf numFmtId="189" fontId="70" fillId="3" borderId="0" xfId="0" applyNumberFormat="1" applyFont="1" applyFill="1">
      <alignment wrapText="1"/>
    </xf>
    <xf numFmtId="186" fontId="70" fillId="3" borderId="0" xfId="165" applyNumberFormat="1" applyFont="1" applyFill="1" applyBorder="1"/>
    <xf numFmtId="171" fontId="1" fillId="0" borderId="5" xfId="164" applyFont="1" applyFill="1" applyBorder="1" applyAlignment="1" applyProtection="1">
      <alignment horizontal="center" vertical="center" wrapText="1"/>
    </xf>
    <xf numFmtId="171" fontId="1" fillId="16" borderId="5" xfId="164" applyFont="1" applyFill="1" applyBorder="1" applyAlignment="1" applyProtection="1">
      <alignment horizontal="center" vertical="center" wrapText="1"/>
    </xf>
    <xf numFmtId="3" fontId="68" fillId="0" borderId="39" xfId="0" applyFont="1" applyBorder="1" applyAlignment="1">
      <alignment horizontal="center" vertical="center" wrapText="1"/>
    </xf>
    <xf numFmtId="172" fontId="1" fillId="36" borderId="5" xfId="170" applyNumberFormat="1" applyFont="1" applyFill="1" applyBorder="1" applyAlignment="1" applyProtection="1">
      <alignment horizontal="center" vertical="center" wrapText="1"/>
    </xf>
    <xf numFmtId="3" fontId="0" fillId="0" borderId="18" xfId="0" applyBorder="1">
      <alignment wrapText="1"/>
    </xf>
    <xf numFmtId="3" fontId="12" fillId="13" borderId="0" xfId="0" applyFont="1" applyFill="1" applyAlignment="1">
      <alignment horizontal="left" vertical="center"/>
    </xf>
    <xf numFmtId="0" fontId="1" fillId="0" borderId="35" xfId="41" applyFont="1" applyBorder="1" applyAlignment="1">
      <alignment horizontal="center" vertical="center" wrapText="1"/>
    </xf>
    <xf numFmtId="0" fontId="14" fillId="0" borderId="70" xfId="41" applyFont="1" applyBorder="1" applyAlignment="1">
      <alignment vertical="center" wrapText="1"/>
    </xf>
    <xf numFmtId="0" fontId="1" fillId="0" borderId="74" xfId="41" applyFont="1" applyBorder="1" applyAlignment="1">
      <alignment horizontal="center" vertical="center" wrapText="1"/>
    </xf>
    <xf numFmtId="171" fontId="40" fillId="18" borderId="50" xfId="59" applyFont="1" applyFill="1" applyBorder="1" applyAlignment="1" applyProtection="1">
      <alignment horizontal="center" vertical="center" wrapText="1"/>
    </xf>
    <xf numFmtId="0" fontId="21" fillId="0" borderId="79" xfId="41" applyFont="1" applyBorder="1" applyAlignment="1">
      <alignment horizontal="center" vertical="center" wrapText="1"/>
    </xf>
    <xf numFmtId="2" fontId="13" fillId="0" borderId="71" xfId="59" applyNumberFormat="1" applyFont="1" applyFill="1" applyBorder="1" applyAlignment="1" applyProtection="1">
      <alignment horizontal="center" vertical="center" wrapText="1"/>
    </xf>
    <xf numFmtId="2" fontId="13" fillId="18" borderId="50" xfId="59" applyNumberFormat="1" applyFont="1" applyFill="1" applyBorder="1" applyAlignment="1" applyProtection="1">
      <alignment horizontal="center" vertical="center" wrapText="1"/>
    </xf>
    <xf numFmtId="2" fontId="1" fillId="3" borderId="79" xfId="59" applyNumberFormat="1" applyFont="1" applyFill="1" applyBorder="1" applyAlignment="1" applyProtection="1">
      <alignment horizontal="center" vertical="center" wrapText="1"/>
    </xf>
    <xf numFmtId="0" fontId="14" fillId="0" borderId="73" xfId="41" applyFont="1" applyBorder="1" applyAlignment="1">
      <alignment vertical="center" wrapText="1"/>
    </xf>
    <xf numFmtId="0" fontId="1" fillId="0" borderId="74" xfId="41" applyFont="1" applyBorder="1" applyAlignment="1">
      <alignment horizontal="justify" vertical="center" wrapText="1"/>
    </xf>
    <xf numFmtId="171" fontId="21" fillId="0" borderId="74" xfId="59" applyFont="1" applyFill="1" applyBorder="1" applyAlignment="1" applyProtection="1">
      <alignment horizontal="center" vertical="center" wrapText="1"/>
    </xf>
    <xf numFmtId="171" fontId="25" fillId="0" borderId="74" xfId="59" applyFont="1" applyFill="1" applyBorder="1" applyAlignment="1" applyProtection="1">
      <alignment horizontal="center" vertical="center" wrapText="1"/>
    </xf>
    <xf numFmtId="171" fontId="40" fillId="0" borderId="74" xfId="59" applyFont="1" applyFill="1" applyBorder="1" applyAlignment="1" applyProtection="1">
      <alignment horizontal="center" vertical="center" wrapText="1"/>
    </xf>
    <xf numFmtId="10" fontId="21" fillId="0" borderId="13" xfId="41" applyNumberFormat="1" applyFont="1" applyBorder="1" applyAlignment="1">
      <alignment horizontal="center" vertical="top" wrapText="1"/>
    </xf>
    <xf numFmtId="10" fontId="21" fillId="18" borderId="13" xfId="41" applyNumberFormat="1" applyFont="1" applyFill="1" applyBorder="1" applyAlignment="1">
      <alignment horizontal="center" vertical="top" wrapText="1"/>
    </xf>
    <xf numFmtId="2" fontId="37" fillId="0" borderId="74" xfId="62" applyNumberFormat="1" applyFont="1" applyFill="1" applyBorder="1" applyAlignment="1" applyProtection="1">
      <alignment horizontal="center" vertical="center" wrapText="1"/>
    </xf>
    <xf numFmtId="2" fontId="37" fillId="0" borderId="80" xfId="62" applyNumberFormat="1" applyFont="1" applyFill="1" applyBorder="1" applyAlignment="1" applyProtection="1">
      <alignment horizontal="center" vertical="center" wrapText="1"/>
    </xf>
    <xf numFmtId="2" fontId="37" fillId="3" borderId="80" xfId="62" applyNumberFormat="1" applyFont="1" applyFill="1" applyBorder="1" applyAlignment="1" applyProtection="1">
      <alignment horizontal="center" vertical="center" wrapText="1"/>
    </xf>
    <xf numFmtId="2" fontId="1" fillId="18" borderId="80" xfId="62" applyNumberFormat="1" applyFont="1" applyFill="1" applyBorder="1" applyAlignment="1" applyProtection="1">
      <alignment horizontal="center" vertical="center" wrapText="1"/>
    </xf>
    <xf numFmtId="177" fontId="40" fillId="18" borderId="53" xfId="41" applyNumberFormat="1" applyFont="1" applyFill="1" applyBorder="1" applyAlignment="1">
      <alignment horizontal="center" vertical="center" wrapText="1"/>
    </xf>
    <xf numFmtId="177" fontId="21" fillId="0" borderId="74" xfId="41" applyNumberFormat="1" applyFont="1" applyBorder="1" applyAlignment="1">
      <alignment horizontal="center" vertical="center" wrapText="1"/>
    </xf>
    <xf numFmtId="177" fontId="21" fillId="0" borderId="80" xfId="41" applyNumberFormat="1" applyFont="1" applyBorder="1" applyAlignment="1">
      <alignment horizontal="center" vertical="center" wrapText="1"/>
    </xf>
    <xf numFmtId="177" fontId="21" fillId="3" borderId="80" xfId="41" applyNumberFormat="1" applyFont="1" applyFill="1" applyBorder="1" applyAlignment="1">
      <alignment horizontal="center" vertical="center" wrapText="1"/>
    </xf>
    <xf numFmtId="177" fontId="21" fillId="18" borderId="80" xfId="41" applyNumberFormat="1" applyFont="1" applyFill="1" applyBorder="1" applyAlignment="1">
      <alignment horizontal="center" vertical="center" wrapText="1"/>
    </xf>
    <xf numFmtId="177" fontId="21" fillId="36" borderId="80" xfId="41" applyNumberFormat="1" applyFont="1" applyFill="1" applyBorder="1" applyAlignment="1">
      <alignment horizontal="center" vertical="center" wrapText="1"/>
    </xf>
    <xf numFmtId="0" fontId="1" fillId="0" borderId="74" xfId="41" applyFont="1" applyBorder="1" applyAlignment="1">
      <alignment vertical="center" wrapText="1"/>
    </xf>
    <xf numFmtId="3" fontId="1" fillId="0" borderId="74" xfId="41" applyNumberFormat="1" applyFont="1" applyBorder="1" applyAlignment="1">
      <alignment horizontal="center" vertical="center" wrapText="1"/>
    </xf>
    <xf numFmtId="0" fontId="1" fillId="0" borderId="80" xfId="41" applyFont="1" applyBorder="1" applyAlignment="1">
      <alignment horizontal="center" vertical="center" wrapText="1"/>
    </xf>
    <xf numFmtId="0" fontId="1" fillId="18" borderId="80" xfId="41" applyFont="1" applyFill="1" applyBorder="1" applyAlignment="1">
      <alignment horizontal="center" vertical="center" wrapText="1"/>
    </xf>
    <xf numFmtId="173" fontId="1" fillId="18" borderId="74" xfId="62" applyNumberFormat="1" applyFont="1" applyFill="1" applyBorder="1" applyAlignment="1" applyProtection="1">
      <alignment horizontal="center" vertical="center"/>
    </xf>
    <xf numFmtId="173" fontId="1" fillId="18" borderId="80" xfId="62" applyNumberFormat="1" applyFont="1" applyFill="1" applyBorder="1" applyAlignment="1" applyProtection="1">
      <alignment horizontal="center" vertical="center"/>
    </xf>
    <xf numFmtId="173" fontId="1" fillId="0" borderId="80" xfId="62" applyNumberFormat="1" applyFont="1" applyFill="1" applyBorder="1" applyAlignment="1" applyProtection="1">
      <alignment horizontal="center" vertical="center"/>
    </xf>
    <xf numFmtId="172" fontId="1" fillId="0" borderId="80" xfId="0" applyNumberFormat="1" applyFont="1" applyBorder="1" applyAlignment="1">
      <alignment horizontal="center" vertical="center" wrapText="1"/>
    </xf>
    <xf numFmtId="0" fontId="1" fillId="0" borderId="74" xfId="41" applyFont="1" applyBorder="1" applyAlignment="1">
      <alignment horizontal="left" vertical="center" wrapText="1"/>
    </xf>
    <xf numFmtId="172" fontId="40" fillId="0" borderId="74" xfId="41" applyNumberFormat="1" applyFont="1" applyBorder="1" applyAlignment="1">
      <alignment horizontal="center" vertical="center" wrapText="1"/>
    </xf>
    <xf numFmtId="171" fontId="40" fillId="0" borderId="80" xfId="41" applyNumberFormat="1" applyFont="1" applyBorder="1" applyAlignment="1">
      <alignment horizontal="center" vertical="center" wrapText="1"/>
    </xf>
    <xf numFmtId="172" fontId="40" fillId="0" borderId="80" xfId="41" applyNumberFormat="1" applyFont="1" applyBorder="1" applyAlignment="1">
      <alignment horizontal="center" vertical="center" wrapText="1"/>
    </xf>
    <xf numFmtId="171" fontId="43" fillId="18" borderId="74" xfId="41" applyNumberFormat="1" applyFont="1" applyFill="1" applyBorder="1" applyAlignment="1">
      <alignment horizontal="center" vertical="center" wrapText="1"/>
    </xf>
    <xf numFmtId="0" fontId="25" fillId="0" borderId="72" xfId="41" applyFont="1" applyBorder="1" applyAlignment="1">
      <alignment horizontal="center" vertical="center" wrapText="1"/>
    </xf>
    <xf numFmtId="172" fontId="25" fillId="0" borderId="72" xfId="41" applyNumberFormat="1" applyFont="1" applyBorder="1" applyAlignment="1">
      <alignment horizontal="center" vertical="center" wrapText="1"/>
    </xf>
    <xf numFmtId="171" fontId="1" fillId="0" borderId="74" xfId="41" applyNumberFormat="1" applyFont="1" applyBorder="1" applyAlignment="1">
      <alignment horizontal="center" vertical="center" wrapText="1"/>
    </xf>
    <xf numFmtId="172" fontId="21" fillId="0" borderId="74" xfId="41" applyNumberFormat="1" applyFont="1" applyBorder="1" applyAlignment="1">
      <alignment horizontal="center" vertical="center" wrapText="1"/>
    </xf>
    <xf numFmtId="172" fontId="21" fillId="0" borderId="80" xfId="41" applyNumberFormat="1" applyFont="1" applyBorder="1" applyAlignment="1">
      <alignment horizontal="center" vertical="center" wrapText="1"/>
    </xf>
    <xf numFmtId="172" fontId="69" fillId="18" borderId="80" xfId="41" applyNumberFormat="1" applyFont="1" applyFill="1" applyBorder="1" applyAlignment="1">
      <alignment horizontal="center" vertical="center" wrapText="1"/>
    </xf>
    <xf numFmtId="172" fontId="69" fillId="0" borderId="80" xfId="41" applyNumberFormat="1" applyFont="1" applyBorder="1" applyAlignment="1">
      <alignment horizontal="center" vertical="center" wrapText="1"/>
    </xf>
    <xf numFmtId="172" fontId="1" fillId="0" borderId="80" xfId="41" applyNumberFormat="1" applyFont="1" applyBorder="1" applyAlignment="1">
      <alignment horizontal="center" vertical="center" wrapText="1"/>
    </xf>
    <xf numFmtId="172" fontId="1" fillId="0" borderId="74" xfId="41" applyNumberFormat="1" applyFont="1" applyBorder="1" applyAlignment="1">
      <alignment horizontal="center" vertical="center" wrapText="1"/>
    </xf>
    <xf numFmtId="172" fontId="1" fillId="18" borderId="80" xfId="41" applyNumberFormat="1" applyFont="1" applyFill="1" applyBorder="1" applyAlignment="1">
      <alignment horizontal="center" vertical="center" wrapText="1"/>
    </xf>
    <xf numFmtId="172" fontId="1" fillId="36" borderId="80" xfId="41" applyNumberFormat="1" applyFont="1" applyFill="1" applyBorder="1" applyAlignment="1">
      <alignment horizontal="center" vertical="center" wrapText="1"/>
    </xf>
    <xf numFmtId="172" fontId="1" fillId="35" borderId="80" xfId="41" applyNumberFormat="1" applyFont="1" applyFill="1" applyBorder="1" applyAlignment="1">
      <alignment horizontal="center" vertical="center" wrapText="1"/>
    </xf>
    <xf numFmtId="3" fontId="1" fillId="0" borderId="74" xfId="0" applyFont="1" applyBorder="1" applyAlignment="1">
      <alignment horizontal="center" vertical="center" wrapText="1"/>
    </xf>
    <xf numFmtId="171" fontId="1" fillId="0" borderId="74" xfId="0" applyNumberFormat="1" applyFont="1" applyBorder="1" applyAlignment="1">
      <alignment horizontal="center" vertical="center" wrapText="1"/>
    </xf>
    <xf numFmtId="2" fontId="1" fillId="0" borderId="74" xfId="59" applyNumberFormat="1" applyFont="1" applyFill="1" applyBorder="1" applyAlignment="1" applyProtection="1">
      <alignment horizontal="center" vertical="center" wrapText="1"/>
    </xf>
    <xf numFmtId="2" fontId="1" fillId="0" borderId="80" xfId="59" applyNumberFormat="1" applyFont="1" applyFill="1" applyBorder="1" applyAlignment="1" applyProtection="1">
      <alignment horizontal="center" vertical="center" wrapText="1"/>
    </xf>
    <xf numFmtId="2" fontId="1" fillId="0" borderId="80" xfId="164" applyNumberFormat="1" applyFont="1" applyFill="1" applyBorder="1" applyAlignment="1" applyProtection="1">
      <alignment horizontal="center" vertical="center" wrapText="1"/>
    </xf>
    <xf numFmtId="2" fontId="1" fillId="0" borderId="84" xfId="164" applyNumberFormat="1" applyFont="1" applyFill="1" applyBorder="1" applyAlignment="1" applyProtection="1">
      <alignment horizontal="center" vertical="center" wrapText="1"/>
    </xf>
    <xf numFmtId="2" fontId="1" fillId="16" borderId="84" xfId="164" applyNumberFormat="1" applyFont="1" applyFill="1" applyBorder="1" applyAlignment="1" applyProtection="1">
      <alignment horizontal="center" vertical="center" wrapText="1"/>
    </xf>
    <xf numFmtId="3" fontId="4" fillId="0" borderId="88" xfId="0" applyFont="1" applyBorder="1" applyAlignment="1">
      <alignment horizontal="right" wrapText="1"/>
    </xf>
    <xf numFmtId="0" fontId="14" fillId="11" borderId="109" xfId="41" applyFont="1" applyFill="1" applyBorder="1" applyAlignment="1">
      <alignment horizontal="left" vertical="center" wrapText="1"/>
    </xf>
    <xf numFmtId="0" fontId="15" fillId="11" borderId="109" xfId="41" applyFont="1" applyFill="1" applyBorder="1" applyAlignment="1">
      <alignment horizontal="left" vertical="center" wrapText="1"/>
    </xf>
    <xf numFmtId="0" fontId="1" fillId="11" borderId="121" xfId="41" applyFont="1" applyFill="1" applyBorder="1" applyAlignment="1">
      <alignment horizontal="center" vertical="center" wrapText="1"/>
    </xf>
    <xf numFmtId="0" fontId="14" fillId="0" borderId="106" xfId="41" applyFont="1" applyBorder="1" applyAlignment="1">
      <alignment vertical="center" wrapText="1"/>
    </xf>
    <xf numFmtId="0" fontId="1" fillId="0" borderId="107" xfId="41" applyFont="1" applyBorder="1" applyAlignment="1">
      <alignment horizontal="justify" vertical="center" wrapText="1"/>
    </xf>
    <xf numFmtId="0" fontId="1" fillId="0" borderId="107" xfId="41" applyFont="1" applyBorder="1" applyAlignment="1">
      <alignment horizontal="center" vertical="center" wrapText="1"/>
    </xf>
    <xf numFmtId="2" fontId="13" fillId="0" borderId="107" xfId="41" applyNumberFormat="1" applyFont="1" applyBorder="1" applyAlignment="1">
      <alignment horizontal="center" vertical="center" wrapText="1"/>
    </xf>
    <xf numFmtId="2" fontId="1" fillId="0" borderId="107" xfId="41" applyNumberFormat="1" applyFont="1" applyBorder="1" applyAlignment="1">
      <alignment horizontal="center" vertical="center" wrapText="1"/>
    </xf>
    <xf numFmtId="2" fontId="13" fillId="0" borderId="117" xfId="41" applyNumberFormat="1" applyFont="1" applyBorder="1" applyAlignment="1">
      <alignment horizontal="center" vertical="center" wrapText="1"/>
    </xf>
    <xf numFmtId="2" fontId="13" fillId="18" borderId="117" xfId="41" applyNumberFormat="1" applyFont="1" applyFill="1" applyBorder="1" applyAlignment="1">
      <alignment horizontal="center" vertical="center" wrapText="1"/>
    </xf>
    <xf numFmtId="2" fontId="13" fillId="18" borderId="103" xfId="41" applyNumberFormat="1" applyFont="1" applyFill="1" applyBorder="1" applyAlignment="1">
      <alignment horizontal="center" vertical="center" wrapText="1"/>
    </xf>
    <xf numFmtId="2" fontId="13" fillId="18" borderId="107" xfId="41" applyNumberFormat="1" applyFont="1" applyFill="1" applyBorder="1" applyAlignment="1">
      <alignment horizontal="center" vertical="center" wrapText="1"/>
    </xf>
    <xf numFmtId="0" fontId="1" fillId="0" borderId="89" xfId="41" applyFont="1" applyBorder="1" applyAlignment="1">
      <alignment horizontal="justify" vertical="center" wrapText="1"/>
    </xf>
    <xf numFmtId="0" fontId="1" fillId="0" borderId="89" xfId="41" applyFont="1" applyBorder="1" applyAlignment="1">
      <alignment horizontal="center" vertical="center" wrapText="1"/>
    </xf>
    <xf numFmtId="171" fontId="21" fillId="0" borderId="89" xfId="59" applyFont="1" applyFill="1" applyBorder="1" applyAlignment="1" applyProtection="1">
      <alignment horizontal="center" vertical="center" wrapText="1"/>
    </xf>
    <xf numFmtId="171" fontId="21" fillId="18" borderId="86" xfId="59" applyFont="1" applyFill="1" applyBorder="1" applyAlignment="1" applyProtection="1">
      <alignment horizontal="center" vertical="center" wrapText="1"/>
    </xf>
    <xf numFmtId="0" fontId="14" fillId="3" borderId="92" xfId="41" applyFont="1" applyFill="1" applyBorder="1" applyAlignment="1">
      <alignment vertical="center" wrapText="1"/>
    </xf>
    <xf numFmtId="0" fontId="1" fillId="3" borderId="85" xfId="41" applyFont="1" applyFill="1" applyBorder="1" applyAlignment="1">
      <alignment horizontal="justify" vertical="center" wrapText="1"/>
    </xf>
    <xf numFmtId="0" fontId="1" fillId="3" borderId="85" xfId="41" applyFont="1" applyFill="1" applyBorder="1" applyAlignment="1">
      <alignment horizontal="center" vertical="center" wrapText="1"/>
    </xf>
    <xf numFmtId="0" fontId="1" fillId="0" borderId="85" xfId="41" applyFont="1" applyBorder="1" applyAlignment="1">
      <alignment horizontal="center" vertical="center" wrapText="1"/>
    </xf>
    <xf numFmtId="2" fontId="13" fillId="3" borderId="85" xfId="59" applyNumberFormat="1" applyFont="1" applyFill="1" applyBorder="1" applyAlignment="1" applyProtection="1">
      <alignment horizontal="center" vertical="center" wrapText="1"/>
    </xf>
    <xf numFmtId="2" fontId="1" fillId="3" borderId="85" xfId="59" applyNumberFormat="1" applyFont="1" applyFill="1" applyBorder="1" applyAlignment="1" applyProtection="1">
      <alignment horizontal="center" vertical="center" wrapText="1"/>
    </xf>
    <xf numFmtId="2" fontId="13" fillId="0" borderId="85" xfId="59" applyNumberFormat="1" applyFont="1" applyFill="1" applyBorder="1" applyAlignment="1" applyProtection="1">
      <alignment horizontal="center" vertical="center" wrapText="1"/>
    </xf>
    <xf numFmtId="2" fontId="13" fillId="18" borderId="61" xfId="59" applyNumberFormat="1" applyFont="1" applyFill="1" applyBorder="1" applyAlignment="1" applyProtection="1">
      <alignment horizontal="center" vertical="center" wrapText="1"/>
    </xf>
    <xf numFmtId="0" fontId="1" fillId="0" borderId="103" xfId="41" applyFont="1" applyBorder="1" applyAlignment="1">
      <alignment horizontal="center" vertical="center" wrapText="1"/>
    </xf>
    <xf numFmtId="171" fontId="40" fillId="18" borderId="122" xfId="59" applyFont="1" applyFill="1" applyBorder="1" applyAlignment="1" applyProtection="1">
      <alignment horizontal="center" vertical="center" wrapText="1"/>
    </xf>
    <xf numFmtId="0" fontId="37" fillId="0" borderId="94" xfId="41" applyFont="1" applyBorder="1" applyAlignment="1">
      <alignment horizontal="center" vertical="center" wrapText="1"/>
    </xf>
    <xf numFmtId="0" fontId="14" fillId="0" borderId="102" xfId="41" applyFont="1" applyBorder="1" applyAlignment="1">
      <alignment vertical="center" wrapText="1"/>
    </xf>
    <xf numFmtId="0" fontId="1" fillId="0" borderId="103" xfId="41" applyFont="1" applyBorder="1" applyAlignment="1">
      <alignment horizontal="justify" vertical="center" wrapText="1"/>
    </xf>
    <xf numFmtId="172" fontId="25" fillId="0" borderId="103" xfId="41" applyNumberFormat="1" applyFont="1" applyBorder="1" applyAlignment="1">
      <alignment horizontal="center" vertical="center" wrapText="1"/>
    </xf>
    <xf numFmtId="172" fontId="25" fillId="0" borderId="123" xfId="41" applyNumberFormat="1" applyFont="1" applyBorder="1" applyAlignment="1">
      <alignment horizontal="center" vertical="center" wrapText="1"/>
    </xf>
    <xf numFmtId="172" fontId="21" fillId="0" borderId="123" xfId="41" applyNumberFormat="1" applyFont="1" applyBorder="1" applyAlignment="1">
      <alignment horizontal="center" vertical="center" wrapText="1"/>
    </xf>
    <xf numFmtId="172" fontId="21" fillId="18" borderId="123" xfId="41" applyNumberFormat="1" applyFont="1" applyFill="1" applyBorder="1" applyAlignment="1">
      <alignment horizontal="center" vertical="center" wrapText="1"/>
    </xf>
    <xf numFmtId="172" fontId="21" fillId="18" borderId="98" xfId="41" applyNumberFormat="1" applyFont="1" applyFill="1" applyBorder="1" applyAlignment="1">
      <alignment horizontal="center" vertical="center" wrapText="1"/>
    </xf>
    <xf numFmtId="172" fontId="21" fillId="18" borderId="124" xfId="41" applyNumberFormat="1" applyFont="1" applyFill="1" applyBorder="1" applyAlignment="1">
      <alignment horizontal="center" vertical="center" wrapText="1"/>
    </xf>
    <xf numFmtId="0" fontId="21" fillId="0" borderId="99" xfId="41" applyFont="1" applyBorder="1" applyAlignment="1">
      <alignment horizontal="center" vertical="center" wrapText="1"/>
    </xf>
    <xf numFmtId="177" fontId="25" fillId="16" borderId="107" xfId="41" applyNumberFormat="1" applyFont="1" applyFill="1" applyBorder="1" applyAlignment="1">
      <alignment horizontal="center" vertical="center" wrapText="1"/>
    </xf>
    <xf numFmtId="177" fontId="25" fillId="16" borderId="117" xfId="41" applyNumberFormat="1" applyFont="1" applyFill="1" applyBorder="1" applyAlignment="1">
      <alignment horizontal="center" vertical="center" wrapText="1"/>
    </xf>
    <xf numFmtId="177" fontId="25" fillId="15" borderId="117" xfId="41" applyNumberFormat="1" applyFont="1" applyFill="1" applyBorder="1" applyAlignment="1">
      <alignment horizontal="center" vertical="center" wrapText="1"/>
    </xf>
    <xf numFmtId="177" fontId="21" fillId="16" borderId="117" xfId="41" applyNumberFormat="1" applyFont="1" applyFill="1" applyBorder="1" applyAlignment="1">
      <alignment horizontal="center" vertical="center" wrapText="1"/>
    </xf>
    <xf numFmtId="177" fontId="25" fillId="18" borderId="117" xfId="41" applyNumberFormat="1" applyFont="1" applyFill="1" applyBorder="1" applyAlignment="1">
      <alignment horizontal="center" vertical="center" wrapText="1"/>
    </xf>
    <xf numFmtId="177" fontId="37" fillId="18" borderId="117" xfId="41" applyNumberFormat="1" applyFont="1" applyFill="1" applyBorder="1" applyAlignment="1">
      <alignment horizontal="center" vertical="center" wrapText="1"/>
    </xf>
    <xf numFmtId="177" fontId="37" fillId="0" borderId="117" xfId="41" applyNumberFormat="1" applyFont="1" applyBorder="1" applyAlignment="1">
      <alignment horizontal="center" vertical="center" wrapText="1"/>
    </xf>
    <xf numFmtId="0" fontId="37" fillId="0" borderId="116" xfId="41" applyFont="1" applyBorder="1" applyAlignment="1">
      <alignment horizontal="center" vertical="center" wrapText="1"/>
    </xf>
    <xf numFmtId="0" fontId="1" fillId="0" borderId="94" xfId="41" applyFont="1" applyBorder="1" applyAlignment="1">
      <alignment horizontal="center" vertical="center" wrapText="1"/>
    </xf>
    <xf numFmtId="177" fontId="21" fillId="0" borderId="103" xfId="41" applyNumberFormat="1" applyFont="1" applyBorder="1" applyAlignment="1">
      <alignment horizontal="center" vertical="center" wrapText="1"/>
    </xf>
    <xf numFmtId="177" fontId="21" fillId="0" borderId="123" xfId="41" applyNumberFormat="1" applyFont="1" applyBorder="1" applyAlignment="1">
      <alignment horizontal="center" vertical="center" wrapText="1"/>
    </xf>
    <xf numFmtId="177" fontId="21" fillId="18" borderId="123" xfId="41" applyNumberFormat="1" applyFont="1" applyFill="1" applyBorder="1" applyAlignment="1">
      <alignment horizontal="center" vertical="center" wrapText="1"/>
    </xf>
    <xf numFmtId="177" fontId="37" fillId="18" borderId="123" xfId="41" applyNumberFormat="1" applyFont="1" applyFill="1" applyBorder="1" applyAlignment="1">
      <alignment horizontal="center" vertical="center" wrapText="1"/>
    </xf>
    <xf numFmtId="177" fontId="40" fillId="18" borderId="127" xfId="41" applyNumberFormat="1" applyFont="1" applyFill="1" applyBorder="1" applyAlignment="1">
      <alignment horizontal="center" vertical="center" wrapText="1"/>
    </xf>
    <xf numFmtId="177" fontId="40" fillId="0" borderId="107" xfId="41" applyNumberFormat="1" applyFont="1" applyBorder="1" applyAlignment="1">
      <alignment horizontal="center" vertical="center" wrapText="1"/>
    </xf>
    <xf numFmtId="177" fontId="40" fillId="36" borderId="117" xfId="41" applyNumberFormat="1" applyFont="1" applyFill="1" applyBorder="1" applyAlignment="1">
      <alignment horizontal="center" vertical="center" wrapText="1"/>
    </xf>
    <xf numFmtId="0" fontId="21" fillId="0" borderId="116" xfId="41" applyFont="1" applyBorder="1" applyAlignment="1">
      <alignment horizontal="center" vertical="center" wrapText="1"/>
    </xf>
    <xf numFmtId="0" fontId="14" fillId="0" borderId="92" xfId="41" applyFont="1" applyBorder="1" applyAlignment="1">
      <alignment vertical="center" wrapText="1"/>
    </xf>
    <xf numFmtId="0" fontId="1" fillId="0" borderId="85" xfId="41" applyFont="1" applyBorder="1" applyAlignment="1">
      <alignment horizontal="justify" vertical="center" wrapText="1"/>
    </xf>
    <xf numFmtId="177" fontId="21" fillId="0" borderId="85" xfId="41" applyNumberFormat="1" applyFont="1" applyBorder="1" applyAlignment="1">
      <alignment horizontal="center" vertical="center" wrapText="1"/>
    </xf>
    <xf numFmtId="177" fontId="21" fillId="18" borderId="61" xfId="41" applyNumberFormat="1" applyFont="1" applyFill="1" applyBorder="1" applyAlignment="1">
      <alignment horizontal="center" vertical="center" wrapText="1"/>
    </xf>
    <xf numFmtId="177" fontId="40" fillId="0" borderId="85" xfId="41" applyNumberFormat="1" applyFont="1" applyBorder="1" applyAlignment="1">
      <alignment horizontal="center" vertical="center" wrapText="1"/>
    </xf>
    <xf numFmtId="177" fontId="40" fillId="36" borderId="61" xfId="41" applyNumberFormat="1" applyFont="1" applyFill="1" applyBorder="1" applyAlignment="1">
      <alignment horizontal="center" vertical="center" wrapText="1"/>
    </xf>
    <xf numFmtId="0" fontId="21" fillId="0" borderId="91" xfId="41" applyFont="1" applyBorder="1" applyAlignment="1">
      <alignment horizontal="center" vertical="center" wrapText="1"/>
    </xf>
    <xf numFmtId="177" fontId="21" fillId="18" borderId="122" xfId="41" applyNumberFormat="1" applyFont="1" applyFill="1" applyBorder="1" applyAlignment="1">
      <alignment horizontal="center" vertical="center" wrapText="1"/>
    </xf>
    <xf numFmtId="0" fontId="21" fillId="0" borderId="94" xfId="41" applyFont="1" applyBorder="1" applyAlignment="1">
      <alignment horizontal="center" vertical="center" wrapText="1"/>
    </xf>
    <xf numFmtId="177" fontId="21" fillId="0" borderId="107" xfId="41" applyNumberFormat="1" applyFont="1" applyBorder="1" applyAlignment="1">
      <alignment horizontal="center" vertical="center" wrapText="1"/>
    </xf>
    <xf numFmtId="177" fontId="21" fillId="0" borderId="117" xfId="41" applyNumberFormat="1" applyFont="1" applyBorder="1" applyAlignment="1">
      <alignment horizontal="center" vertical="center" wrapText="1"/>
    </xf>
    <xf numFmtId="177" fontId="21" fillId="3" borderId="117" xfId="41" applyNumberFormat="1" applyFont="1" applyFill="1" applyBorder="1" applyAlignment="1">
      <alignment horizontal="center" vertical="center" wrapText="1"/>
    </xf>
    <xf numFmtId="177" fontId="21" fillId="18" borderId="117" xfId="41" applyNumberFormat="1" applyFont="1" applyFill="1" applyBorder="1" applyAlignment="1">
      <alignment horizontal="center" vertical="center" wrapText="1"/>
    </xf>
    <xf numFmtId="177" fontId="21" fillId="36" borderId="117" xfId="41" applyNumberFormat="1" applyFont="1" applyFill="1" applyBorder="1" applyAlignment="1">
      <alignment horizontal="center" vertical="center" wrapText="1"/>
    </xf>
    <xf numFmtId="0" fontId="14" fillId="0" borderId="115" xfId="41" applyFont="1" applyBorder="1" applyAlignment="1">
      <alignment vertical="center" wrapText="1"/>
    </xf>
    <xf numFmtId="0" fontId="4" fillId="11" borderId="126" xfId="41" applyFill="1" applyBorder="1" applyAlignment="1">
      <alignment vertical="center" wrapText="1"/>
    </xf>
    <xf numFmtId="172" fontId="21" fillId="0" borderId="85" xfId="41" applyNumberFormat="1" applyFont="1" applyBorder="1" applyAlignment="1">
      <alignment horizontal="center" vertical="center" wrapText="1"/>
    </xf>
    <xf numFmtId="172" fontId="21" fillId="3" borderId="61" xfId="41" applyNumberFormat="1" applyFont="1" applyFill="1" applyBorder="1" applyAlignment="1">
      <alignment horizontal="center" vertical="center" wrapText="1"/>
    </xf>
    <xf numFmtId="172" fontId="21" fillId="0" borderId="61" xfId="41" applyNumberFormat="1" applyFont="1" applyBorder="1" applyAlignment="1">
      <alignment horizontal="center" vertical="center" wrapText="1"/>
    </xf>
    <xf numFmtId="0" fontId="14" fillId="11" borderId="126" xfId="41" applyFont="1" applyFill="1" applyBorder="1" applyAlignment="1">
      <alignment horizontal="center" vertical="center" wrapText="1"/>
    </xf>
    <xf numFmtId="0" fontId="14" fillId="11" borderId="109" xfId="41" applyFont="1" applyFill="1" applyBorder="1" applyAlignment="1">
      <alignment horizontal="center" vertical="center" wrapText="1"/>
    </xf>
    <xf numFmtId="0" fontId="1" fillId="11" borderId="110" xfId="41" applyFont="1" applyFill="1" applyBorder="1" applyAlignment="1">
      <alignment horizontal="center" vertical="center" wrapText="1"/>
    </xf>
    <xf numFmtId="0" fontId="1" fillId="0" borderId="107" xfId="41" applyFont="1" applyBorder="1" applyAlignment="1">
      <alignment vertical="center" wrapText="1"/>
    </xf>
    <xf numFmtId="3" fontId="1" fillId="0" borderId="107" xfId="41" applyNumberFormat="1" applyFont="1" applyBorder="1" applyAlignment="1">
      <alignment horizontal="center" vertical="center" wrapText="1"/>
    </xf>
    <xf numFmtId="0" fontId="1" fillId="18" borderId="107" xfId="41" applyFont="1" applyFill="1" applyBorder="1" applyAlignment="1">
      <alignment horizontal="center" vertical="center" wrapText="1"/>
    </xf>
    <xf numFmtId="0" fontId="1" fillId="0" borderId="117" xfId="41" applyFont="1" applyBorder="1" applyAlignment="1">
      <alignment horizontal="center" vertical="center" wrapText="1"/>
    </xf>
    <xf numFmtId="0" fontId="1" fillId="36" borderId="117" xfId="41" applyFont="1" applyFill="1" applyBorder="1" applyAlignment="1">
      <alignment horizontal="center" vertical="center" wrapText="1"/>
    </xf>
    <xf numFmtId="0" fontId="1" fillId="0" borderId="116" xfId="41" applyFont="1" applyBorder="1" applyAlignment="1">
      <alignment horizontal="center" vertical="center" wrapText="1"/>
    </xf>
    <xf numFmtId="2" fontId="1" fillId="0" borderId="103" xfId="41" applyNumberFormat="1" applyFont="1" applyBorder="1" applyAlignment="1">
      <alignment horizontal="center" vertical="center" wrapText="1"/>
    </xf>
    <xf numFmtId="2" fontId="1" fillId="0" borderId="123" xfId="41" applyNumberFormat="1" applyFont="1" applyBorder="1" applyAlignment="1">
      <alignment horizontal="center" vertical="center" wrapText="1"/>
    </xf>
    <xf numFmtId="0" fontId="1" fillId="18" borderId="107" xfId="41" applyFont="1" applyFill="1" applyBorder="1" applyAlignment="1">
      <alignment horizontal="justify" vertical="center" wrapText="1"/>
    </xf>
    <xf numFmtId="173" fontId="1" fillId="0" borderId="85" xfId="41" applyNumberFormat="1" applyFont="1" applyBorder="1" applyAlignment="1">
      <alignment horizontal="center" vertical="center" wrapText="1"/>
    </xf>
    <xf numFmtId="173" fontId="1" fillId="0" borderId="117" xfId="41" applyNumberFormat="1" applyFont="1" applyBorder="1" applyAlignment="1">
      <alignment horizontal="center" vertical="center" wrapText="1"/>
    </xf>
    <xf numFmtId="173" fontId="1" fillId="0" borderId="61" xfId="41" applyNumberFormat="1" applyFont="1" applyBorder="1" applyAlignment="1">
      <alignment horizontal="center" vertical="center" wrapText="1"/>
    </xf>
    <xf numFmtId="173" fontId="1" fillId="3" borderId="85" xfId="62" applyNumberFormat="1" applyFont="1" applyFill="1" applyBorder="1" applyAlignment="1" applyProtection="1">
      <alignment horizontal="center" vertical="center"/>
    </xf>
    <xf numFmtId="173" fontId="1" fillId="3" borderId="61" xfId="62" applyNumberFormat="1" applyFont="1" applyFill="1" applyBorder="1" applyAlignment="1" applyProtection="1">
      <alignment horizontal="center" vertical="center"/>
    </xf>
    <xf numFmtId="173" fontId="1" fillId="0" borderId="61" xfId="62" applyNumberFormat="1" applyFont="1" applyFill="1" applyBorder="1" applyAlignment="1" applyProtection="1">
      <alignment horizontal="center" vertical="center"/>
    </xf>
    <xf numFmtId="173" fontId="1" fillId="18" borderId="61" xfId="62" applyNumberFormat="1" applyFont="1" applyFill="1" applyBorder="1" applyAlignment="1" applyProtection="1">
      <alignment horizontal="center" vertical="center"/>
    </xf>
    <xf numFmtId="0" fontId="1" fillId="0" borderId="91" xfId="41" applyFont="1" applyBorder="1" applyAlignment="1">
      <alignment horizontal="center" vertical="center" wrapText="1"/>
    </xf>
    <xf numFmtId="0" fontId="1" fillId="0" borderId="120" xfId="41" applyFont="1" applyBorder="1" applyAlignment="1">
      <alignment horizontal="center" vertical="center" wrapText="1"/>
    </xf>
    <xf numFmtId="0" fontId="14" fillId="0" borderId="128" xfId="41" applyFont="1" applyBorder="1" applyAlignment="1">
      <alignment vertical="center" wrapText="1"/>
    </xf>
    <xf numFmtId="0" fontId="1" fillId="0" borderId="120" xfId="41" applyFont="1" applyBorder="1" applyAlignment="1">
      <alignment horizontal="justify" vertical="center" wrapText="1"/>
    </xf>
    <xf numFmtId="172" fontId="1" fillId="0" borderId="120" xfId="41" applyNumberFormat="1" applyFont="1" applyBorder="1" applyAlignment="1">
      <alignment horizontal="center" vertical="center" wrapText="1"/>
    </xf>
    <xf numFmtId="172" fontId="1" fillId="0" borderId="122" xfId="41" applyNumberFormat="1" applyFont="1" applyBorder="1" applyAlignment="1">
      <alignment horizontal="center" vertical="center" wrapText="1"/>
    </xf>
    <xf numFmtId="172" fontId="1" fillId="0" borderId="86" xfId="0" applyNumberFormat="1" applyFont="1" applyBorder="1" applyAlignment="1">
      <alignment horizontal="center" vertical="center" wrapText="1"/>
    </xf>
    <xf numFmtId="10" fontId="1" fillId="0" borderId="98" xfId="0" applyNumberFormat="1" applyFont="1" applyBorder="1" applyAlignment="1">
      <alignment horizontal="center" vertical="center" wrapText="1"/>
    </xf>
    <xf numFmtId="10" fontId="1" fillId="0" borderId="124" xfId="0" applyNumberFormat="1" applyFont="1" applyBorder="1" applyAlignment="1">
      <alignment horizontal="center" vertical="center" wrapText="1"/>
    </xf>
    <xf numFmtId="0" fontId="1" fillId="0" borderId="99" xfId="41" applyFont="1" applyBorder="1" applyAlignment="1">
      <alignment horizontal="center" vertical="center" wrapText="1"/>
    </xf>
    <xf numFmtId="172" fontId="1" fillId="0" borderId="122" xfId="0" applyNumberFormat="1" applyFont="1" applyBorder="1" applyAlignment="1">
      <alignment horizontal="center" vertical="center" wrapText="1"/>
    </xf>
    <xf numFmtId="10" fontId="1" fillId="0" borderId="122" xfId="0" applyNumberFormat="1" applyFont="1" applyBorder="1" applyAlignment="1">
      <alignment horizontal="center" vertical="center" wrapText="1"/>
    </xf>
    <xf numFmtId="0" fontId="1" fillId="0" borderId="107" xfId="41" applyFont="1" applyBorder="1" applyAlignment="1">
      <alignment horizontal="left" vertical="center" wrapText="1"/>
    </xf>
    <xf numFmtId="172" fontId="37" fillId="0" borderId="107" xfId="41" applyNumberFormat="1" applyFont="1" applyBorder="1" applyAlignment="1">
      <alignment horizontal="center" vertical="center" wrapText="1"/>
    </xf>
    <xf numFmtId="172" fontId="37" fillId="0" borderId="117" xfId="41" applyNumberFormat="1" applyFont="1" applyBorder="1" applyAlignment="1">
      <alignment horizontal="center" vertical="center" wrapText="1"/>
    </xf>
    <xf numFmtId="172" fontId="40" fillId="0" borderId="107" xfId="41" applyNumberFormat="1" applyFont="1" applyBorder="1" applyAlignment="1">
      <alignment horizontal="center" vertical="center" wrapText="1"/>
    </xf>
    <xf numFmtId="0" fontId="1" fillId="0" borderId="85" xfId="41" applyFont="1" applyBorder="1" applyAlignment="1">
      <alignment vertical="center" wrapText="1"/>
    </xf>
    <xf numFmtId="0" fontId="1" fillId="0" borderId="85" xfId="41" applyFont="1" applyBorder="1" applyAlignment="1">
      <alignment horizontal="left" vertical="center" wrapText="1"/>
    </xf>
    <xf numFmtId="172" fontId="40" fillId="0" borderId="85" xfId="41" applyNumberFormat="1" applyFont="1" applyBorder="1" applyAlignment="1">
      <alignment horizontal="center" vertical="center" wrapText="1"/>
    </xf>
    <xf numFmtId="172" fontId="40" fillId="0" borderId="61" xfId="41" applyNumberFormat="1" applyFont="1" applyBorder="1" applyAlignment="1">
      <alignment horizontal="center" vertical="center" wrapText="1"/>
    </xf>
    <xf numFmtId="172" fontId="37" fillId="0" borderId="61" xfId="41" applyNumberFormat="1" applyFont="1" applyBorder="1" applyAlignment="1">
      <alignment horizontal="center" vertical="center" wrapText="1"/>
    </xf>
    <xf numFmtId="172" fontId="40" fillId="18" borderId="61" xfId="41" applyNumberFormat="1" applyFont="1" applyFill="1" applyBorder="1" applyAlignment="1">
      <alignment horizontal="center" vertical="center" wrapText="1"/>
    </xf>
    <xf numFmtId="0" fontId="37" fillId="18" borderId="91" xfId="41" applyFont="1" applyFill="1" applyBorder="1" applyAlignment="1">
      <alignment horizontal="center" vertical="center" wrapText="1"/>
    </xf>
    <xf numFmtId="171" fontId="1" fillId="0" borderId="61" xfId="62" applyFont="1" applyFill="1" applyBorder="1" applyAlignment="1" applyProtection="1">
      <alignment horizontal="center" vertical="center" wrapText="1"/>
    </xf>
    <xf numFmtId="172" fontId="37" fillId="0" borderId="61" xfId="62" applyNumberFormat="1" applyFont="1" applyFill="1" applyBorder="1" applyAlignment="1" applyProtection="1">
      <alignment horizontal="center" vertical="center" wrapText="1"/>
    </xf>
    <xf numFmtId="10" fontId="37" fillId="18" borderId="61" xfId="62" applyNumberFormat="1" applyFont="1" applyFill="1" applyBorder="1" applyAlignment="1" applyProtection="1">
      <alignment horizontal="center" vertical="center" wrapText="1"/>
    </xf>
    <xf numFmtId="172" fontId="37" fillId="0" borderId="85" xfId="41" applyNumberFormat="1" applyFont="1" applyBorder="1" applyAlignment="1">
      <alignment horizontal="center" vertical="center" wrapText="1"/>
    </xf>
    <xf numFmtId="0" fontId="37" fillId="0" borderId="91" xfId="41" applyFont="1" applyBorder="1" applyAlignment="1">
      <alignment horizontal="center" vertical="center" wrapText="1"/>
    </xf>
    <xf numFmtId="172" fontId="37" fillId="18" borderId="61" xfId="62" applyNumberFormat="1" applyFont="1" applyFill="1" applyBorder="1" applyAlignment="1" applyProtection="1">
      <alignment horizontal="center" vertical="center" wrapText="1"/>
    </xf>
    <xf numFmtId="172" fontId="44" fillId="0" borderId="61" xfId="41" applyNumberFormat="1" applyFont="1" applyBorder="1" applyAlignment="1">
      <alignment horizontal="center" vertical="center" wrapText="1"/>
    </xf>
    <xf numFmtId="0" fontId="44" fillId="0" borderId="91" xfId="41" applyFont="1" applyBorder="1" applyAlignment="1">
      <alignment horizontal="center" vertical="center" wrapText="1"/>
    </xf>
    <xf numFmtId="0" fontId="1" fillId="18" borderId="85" xfId="41" applyFont="1" applyFill="1" applyBorder="1" applyAlignment="1">
      <alignment horizontal="center" vertical="center" wrapText="1"/>
    </xf>
    <xf numFmtId="171" fontId="1" fillId="18" borderId="61" xfId="62" applyFont="1" applyFill="1" applyBorder="1" applyAlignment="1" applyProtection="1">
      <alignment horizontal="center" vertical="center" wrapText="1"/>
    </xf>
    <xf numFmtId="172" fontId="1" fillId="18" borderId="61" xfId="62" applyNumberFormat="1" applyFont="1" applyFill="1" applyBorder="1" applyAlignment="1" applyProtection="1">
      <alignment horizontal="center" vertical="center" wrapText="1"/>
    </xf>
    <xf numFmtId="172" fontId="1" fillId="0" borderId="85" xfId="41" applyNumberFormat="1" applyFont="1" applyBorder="1" applyAlignment="1">
      <alignment horizontal="center" vertical="center" wrapText="1"/>
    </xf>
    <xf numFmtId="172" fontId="1" fillId="0" borderId="61" xfId="41" applyNumberFormat="1" applyFont="1" applyBorder="1" applyAlignment="1">
      <alignment horizontal="center" vertical="center" wrapText="1"/>
    </xf>
    <xf numFmtId="171" fontId="1" fillId="0" borderId="85" xfId="41" applyNumberFormat="1" applyFont="1" applyBorder="1" applyAlignment="1">
      <alignment horizontal="center" vertical="center" wrapText="1"/>
    </xf>
    <xf numFmtId="172" fontId="1" fillId="0" borderId="61" xfId="62" applyNumberFormat="1" applyFont="1" applyFill="1" applyBorder="1" applyAlignment="1" applyProtection="1">
      <alignment horizontal="center" vertical="center" wrapText="1"/>
    </xf>
    <xf numFmtId="171" fontId="40" fillId="0" borderId="61" xfId="41" applyNumberFormat="1" applyFont="1" applyBorder="1" applyAlignment="1">
      <alignment horizontal="center" vertical="center" wrapText="1"/>
    </xf>
    <xf numFmtId="171" fontId="1" fillId="36" borderId="61" xfId="170" applyFont="1" applyFill="1" applyBorder="1" applyAlignment="1" applyProtection="1">
      <alignment horizontal="center" vertical="center" wrapText="1"/>
    </xf>
    <xf numFmtId="171" fontId="1" fillId="0" borderId="86" xfId="62" applyFont="1" applyFill="1" applyBorder="1" applyAlignment="1" applyProtection="1">
      <alignment horizontal="center" vertical="center" wrapText="1"/>
    </xf>
    <xf numFmtId="171" fontId="1" fillId="36" borderId="86" xfId="170" applyFont="1" applyFill="1" applyBorder="1" applyAlignment="1" applyProtection="1">
      <alignment horizontal="center" vertical="center" wrapText="1"/>
    </xf>
    <xf numFmtId="2" fontId="1" fillId="0" borderId="117" xfId="0" applyNumberFormat="1" applyFont="1" applyBorder="1" applyAlignment="1">
      <alignment horizontal="center" vertical="center" wrapText="1"/>
    </xf>
    <xf numFmtId="4" fontId="1" fillId="0" borderId="117" xfId="0" applyNumberFormat="1" applyFont="1" applyBorder="1" applyAlignment="1">
      <alignment horizontal="center" vertical="center" wrapText="1"/>
    </xf>
    <xf numFmtId="171" fontId="37" fillId="0" borderId="61" xfId="41" applyNumberFormat="1" applyFont="1" applyBorder="1" applyAlignment="1">
      <alignment horizontal="center" vertical="center" wrapText="1"/>
    </xf>
    <xf numFmtId="0" fontId="1" fillId="18" borderId="85" xfId="41" applyFont="1" applyFill="1" applyBorder="1" applyAlignment="1">
      <alignment horizontal="justify" vertical="center" wrapText="1"/>
    </xf>
    <xf numFmtId="172" fontId="25" fillId="0" borderId="85" xfId="41" applyNumberFormat="1" applyFont="1" applyBorder="1" applyAlignment="1">
      <alignment horizontal="center" vertical="center" wrapText="1"/>
    </xf>
    <xf numFmtId="172" fontId="25" fillId="18" borderId="61" xfId="41" applyNumberFormat="1" applyFont="1" applyFill="1" applyBorder="1" applyAlignment="1">
      <alignment horizontal="center" vertical="center" wrapText="1"/>
    </xf>
    <xf numFmtId="172" fontId="37" fillId="18" borderId="61" xfId="41" applyNumberFormat="1" applyFont="1" applyFill="1" applyBorder="1" applyAlignment="1">
      <alignment horizontal="center" vertical="center" wrapText="1"/>
    </xf>
    <xf numFmtId="172" fontId="25" fillId="0" borderId="89" xfId="41" applyNumberFormat="1" applyFont="1" applyBorder="1" applyAlignment="1">
      <alignment horizontal="center" vertical="center" wrapText="1"/>
    </xf>
    <xf numFmtId="172" fontId="25" fillId="18" borderId="89" xfId="41" applyNumberFormat="1" applyFont="1" applyFill="1" applyBorder="1" applyAlignment="1">
      <alignment horizontal="center" vertical="center" wrapText="1"/>
    </xf>
    <xf numFmtId="172" fontId="25" fillId="18" borderId="86" xfId="41" applyNumberFormat="1" applyFont="1" applyFill="1" applyBorder="1" applyAlignment="1">
      <alignment horizontal="center" vertical="center" wrapText="1"/>
    </xf>
    <xf numFmtId="172" fontId="25" fillId="0" borderId="86" xfId="41" applyNumberFormat="1" applyFont="1" applyBorder="1" applyAlignment="1">
      <alignment horizontal="center" vertical="center" wrapText="1"/>
    </xf>
    <xf numFmtId="0" fontId="1" fillId="18" borderId="89" xfId="41" applyFont="1" applyFill="1" applyBorder="1" applyAlignment="1">
      <alignment horizontal="justify" vertical="center" wrapText="1"/>
    </xf>
    <xf numFmtId="171" fontId="1" fillId="0" borderId="107" xfId="41" applyNumberFormat="1" applyFont="1" applyBorder="1" applyAlignment="1">
      <alignment horizontal="center" vertical="center" wrapText="1"/>
    </xf>
    <xf numFmtId="172" fontId="25" fillId="0" borderId="107" xfId="41" applyNumberFormat="1" applyFont="1" applyBorder="1" applyAlignment="1">
      <alignment horizontal="center" vertical="center" wrapText="1"/>
    </xf>
    <xf numFmtId="172" fontId="25" fillId="0" borderId="117" xfId="41" applyNumberFormat="1" applyFont="1" applyBorder="1" applyAlignment="1">
      <alignment horizontal="center" vertical="center" wrapText="1"/>
    </xf>
    <xf numFmtId="172" fontId="25" fillId="18" borderId="117" xfId="41" applyNumberFormat="1" applyFont="1" applyFill="1" applyBorder="1" applyAlignment="1">
      <alignment horizontal="center" vertical="center" wrapText="1"/>
    </xf>
    <xf numFmtId="0" fontId="25" fillId="0" borderId="116" xfId="41" applyFont="1" applyBorder="1" applyAlignment="1">
      <alignment horizontal="center" vertical="center" wrapText="1"/>
    </xf>
    <xf numFmtId="172" fontId="25" fillId="0" borderId="61" xfId="41" applyNumberFormat="1" applyFont="1" applyBorder="1" applyAlignment="1">
      <alignment horizontal="center" vertical="center" wrapText="1"/>
    </xf>
    <xf numFmtId="177" fontId="25" fillId="0" borderId="61" xfId="41" applyNumberFormat="1" applyFont="1" applyBorder="1" applyAlignment="1">
      <alignment horizontal="center" vertical="center" wrapText="1"/>
    </xf>
    <xf numFmtId="0" fontId="25" fillId="0" borderId="91" xfId="41" applyFont="1" applyBorder="1" applyAlignment="1">
      <alignment horizontal="center" vertical="center" wrapText="1"/>
    </xf>
    <xf numFmtId="172" fontId="25" fillId="0" borderId="107" xfId="0" applyNumberFormat="1" applyFont="1" applyBorder="1" applyAlignment="1">
      <alignment horizontal="center" vertical="center" wrapText="1"/>
    </xf>
    <xf numFmtId="172" fontId="25" fillId="0" borderId="117" xfId="0" applyNumberFormat="1" applyFont="1" applyBorder="1" applyAlignment="1">
      <alignment horizontal="center" vertical="center" wrapText="1"/>
    </xf>
    <xf numFmtId="172" fontId="25" fillId="18" borderId="117" xfId="0" applyNumberFormat="1" applyFont="1" applyFill="1" applyBorder="1" applyAlignment="1">
      <alignment horizontal="center" vertical="center" wrapText="1"/>
    </xf>
    <xf numFmtId="172" fontId="25" fillId="36" borderId="117" xfId="0" applyNumberFormat="1" applyFont="1" applyFill="1" applyBorder="1" applyAlignment="1">
      <alignment horizontal="center" vertical="center" wrapText="1"/>
    </xf>
    <xf numFmtId="3" fontId="25" fillId="0" borderId="116" xfId="41" applyNumberFormat="1" applyFont="1" applyBorder="1" applyAlignment="1">
      <alignment horizontal="center" vertical="center" wrapText="1"/>
    </xf>
    <xf numFmtId="172" fontId="25" fillId="0" borderId="85" xfId="0" applyNumberFormat="1" applyFont="1" applyBorder="1" applyAlignment="1">
      <alignment horizontal="center" vertical="center" wrapText="1"/>
    </xf>
    <xf numFmtId="172" fontId="25" fillId="0" borderId="61" xfId="0" applyNumberFormat="1" applyFont="1" applyBorder="1" applyAlignment="1">
      <alignment horizontal="center" vertical="center" wrapText="1"/>
    </xf>
    <xf numFmtId="172" fontId="25" fillId="18" borderId="61" xfId="0" applyNumberFormat="1" applyFont="1" applyFill="1" applyBorder="1" applyAlignment="1">
      <alignment horizontal="center" vertical="center" wrapText="1"/>
    </xf>
    <xf numFmtId="172" fontId="25" fillId="36" borderId="61" xfId="0" applyNumberFormat="1" applyFont="1" applyFill="1" applyBorder="1" applyAlignment="1">
      <alignment horizontal="center" vertical="center" wrapText="1"/>
    </xf>
    <xf numFmtId="3" fontId="25" fillId="0" borderId="91" xfId="41" applyNumberFormat="1" applyFont="1" applyBorder="1" applyAlignment="1">
      <alignment horizontal="center" vertical="center" wrapText="1"/>
    </xf>
    <xf numFmtId="3" fontId="1" fillId="0" borderId="94" xfId="41" applyNumberFormat="1" applyFont="1" applyBorder="1" applyAlignment="1">
      <alignment horizontal="center" vertical="center" wrapText="1"/>
    </xf>
    <xf numFmtId="0" fontId="14" fillId="11" borderId="126" xfId="41" applyFont="1" applyFill="1" applyBorder="1" applyAlignment="1">
      <alignment vertical="center" wrapText="1"/>
    </xf>
    <xf numFmtId="0" fontId="14" fillId="11" borderId="121" xfId="41" applyFont="1" applyFill="1" applyBorder="1" applyAlignment="1">
      <alignment vertical="center" wrapText="1"/>
    </xf>
    <xf numFmtId="177" fontId="21" fillId="0" borderId="61" xfId="41" applyNumberFormat="1" applyFont="1" applyBorder="1" applyAlignment="1">
      <alignment horizontal="center" vertical="center" wrapText="1"/>
    </xf>
    <xf numFmtId="177" fontId="21" fillId="0" borderId="61" xfId="62" applyNumberFormat="1" applyFont="1" applyFill="1" applyBorder="1" applyAlignment="1" applyProtection="1">
      <alignment horizontal="center" vertical="center" wrapText="1"/>
    </xf>
    <xf numFmtId="177" fontId="25" fillId="0" borderId="61" xfId="59" applyNumberFormat="1" applyFont="1" applyFill="1" applyBorder="1" applyAlignment="1" applyProtection="1">
      <alignment horizontal="center" vertical="center" wrapText="1"/>
    </xf>
    <xf numFmtId="177" fontId="21" fillId="0" borderId="61" xfId="59" applyNumberFormat="1" applyFont="1" applyFill="1" applyBorder="1" applyAlignment="1" applyProtection="1">
      <alignment horizontal="center" vertical="center" wrapText="1"/>
    </xf>
    <xf numFmtId="177" fontId="25" fillId="0" borderId="86" xfId="59" applyNumberFormat="1" applyFont="1" applyFill="1" applyBorder="1" applyAlignment="1" applyProtection="1">
      <alignment horizontal="center" vertical="center" wrapText="1"/>
    </xf>
    <xf numFmtId="177" fontId="25" fillId="0" borderId="86" xfId="165" applyNumberFormat="1" applyFont="1" applyFill="1" applyBorder="1" applyAlignment="1" applyProtection="1">
      <alignment horizontal="center" vertical="center" wrapText="1"/>
    </xf>
    <xf numFmtId="177" fontId="25" fillId="36" borderId="86" xfId="165" applyNumberFormat="1" applyFont="1" applyFill="1" applyBorder="1" applyAlignment="1" applyProtection="1">
      <alignment horizontal="center" vertical="center" wrapText="1"/>
    </xf>
    <xf numFmtId="3" fontId="1" fillId="0" borderId="85" xfId="0" applyFont="1" applyBorder="1" applyAlignment="1">
      <alignment horizontal="center" vertical="center" wrapText="1"/>
    </xf>
    <xf numFmtId="177" fontId="25" fillId="0" borderId="85" xfId="41" applyNumberFormat="1" applyFont="1" applyBorder="1" applyAlignment="1">
      <alignment horizontal="center" vertical="center" wrapText="1"/>
    </xf>
    <xf numFmtId="177" fontId="25" fillId="0" borderId="61" xfId="62" applyNumberFormat="1" applyFont="1" applyFill="1" applyBorder="1" applyAlignment="1" applyProtection="1">
      <alignment horizontal="center" vertical="center" wrapText="1"/>
    </xf>
    <xf numFmtId="177" fontId="25" fillId="0" borderId="86" xfId="62" applyNumberFormat="1" applyFont="1" applyFill="1" applyBorder="1" applyAlignment="1" applyProtection="1">
      <alignment horizontal="center" vertical="center" wrapText="1"/>
    </xf>
    <xf numFmtId="177" fontId="25" fillId="0" borderId="86" xfId="170" applyNumberFormat="1" applyFont="1" applyFill="1" applyBorder="1" applyAlignment="1" applyProtection="1">
      <alignment horizontal="center" vertical="center" wrapText="1"/>
    </xf>
    <xf numFmtId="177" fontId="25" fillId="36" borderId="86" xfId="170" applyNumberFormat="1" applyFont="1" applyFill="1" applyBorder="1" applyAlignment="1" applyProtection="1">
      <alignment horizontal="center" vertical="center" wrapText="1"/>
    </xf>
    <xf numFmtId="0" fontId="14" fillId="11" borderId="109" xfId="41" applyFont="1" applyFill="1" applyBorder="1" applyAlignment="1">
      <alignment vertical="center" wrapText="1"/>
    </xf>
    <xf numFmtId="172" fontId="25" fillId="0" borderId="123" xfId="0" applyNumberFormat="1" applyFont="1" applyBorder="1" applyAlignment="1">
      <alignment horizontal="center" vertical="center" wrapText="1"/>
    </xf>
    <xf numFmtId="172" fontId="25" fillId="18" borderId="123" xfId="0" applyNumberFormat="1" applyFont="1" applyFill="1" applyBorder="1" applyAlignment="1">
      <alignment horizontal="center" vertical="center" wrapText="1"/>
    </xf>
    <xf numFmtId="172" fontId="25" fillId="0" borderId="98" xfId="0" applyNumberFormat="1" applyFont="1" applyBorder="1" applyAlignment="1">
      <alignment horizontal="center" vertical="center" wrapText="1"/>
    </xf>
    <xf numFmtId="172" fontId="25" fillId="36" borderId="98" xfId="0" applyNumberFormat="1" applyFont="1" applyFill="1" applyBorder="1" applyAlignment="1">
      <alignment horizontal="center" vertical="center" wrapText="1"/>
    </xf>
    <xf numFmtId="0" fontId="14" fillId="0" borderId="125" xfId="41" applyFont="1" applyBorder="1" applyAlignment="1">
      <alignment horizontal="left" vertical="center" wrapText="1"/>
    </xf>
    <xf numFmtId="0" fontId="4" fillId="0" borderId="107" xfId="41" applyBorder="1" applyAlignment="1">
      <alignment horizontal="center" vertical="center" wrapText="1"/>
    </xf>
    <xf numFmtId="3" fontId="1" fillId="18" borderId="117" xfId="41" applyNumberFormat="1" applyFont="1" applyFill="1" applyBorder="1" applyAlignment="1">
      <alignment horizontal="center" vertical="center" wrapText="1"/>
    </xf>
    <xf numFmtId="3" fontId="1" fillId="35" borderId="117" xfId="41" applyNumberFormat="1" applyFont="1" applyFill="1" applyBorder="1" applyAlignment="1">
      <alignment horizontal="center" vertical="center" wrapText="1"/>
    </xf>
    <xf numFmtId="0" fontId="14" fillId="0" borderId="125" xfId="41" applyFont="1" applyBorder="1" applyAlignment="1">
      <alignment vertical="center" wrapText="1"/>
    </xf>
    <xf numFmtId="177" fontId="21" fillId="0" borderId="61" xfId="0" applyNumberFormat="1" applyFont="1" applyBorder="1" applyAlignment="1">
      <alignment horizontal="center" vertical="center" wrapText="1"/>
    </xf>
    <xf numFmtId="177" fontId="21" fillId="18" borderId="61" xfId="0" applyNumberFormat="1" applyFont="1" applyFill="1" applyBorder="1" applyAlignment="1">
      <alignment horizontal="center" vertical="center" wrapText="1"/>
    </xf>
    <xf numFmtId="177" fontId="21" fillId="18" borderId="98" xfId="0" applyNumberFormat="1" applyFont="1" applyFill="1" applyBorder="1" applyAlignment="1">
      <alignment horizontal="center" vertical="center" wrapText="1"/>
    </xf>
    <xf numFmtId="177" fontId="21" fillId="18" borderId="124" xfId="0" applyNumberFormat="1" applyFont="1" applyFill="1" applyBorder="1" applyAlignment="1">
      <alignment horizontal="center" vertical="center" wrapText="1"/>
    </xf>
    <xf numFmtId="177" fontId="21" fillId="0" borderId="124" xfId="0" applyNumberFormat="1" applyFont="1" applyBorder="1" applyAlignment="1">
      <alignment horizontal="center" vertical="center" wrapText="1"/>
    </xf>
    <xf numFmtId="171" fontId="1" fillId="0" borderId="61" xfId="59" applyFont="1" applyFill="1" applyBorder="1" applyAlignment="1" applyProtection="1">
      <alignment horizontal="center" vertical="center" wrapText="1"/>
    </xf>
    <xf numFmtId="171" fontId="1" fillId="0" borderId="61" xfId="164" applyFont="1" applyFill="1" applyBorder="1" applyAlignment="1" applyProtection="1">
      <alignment horizontal="center" vertical="center" wrapText="1"/>
    </xf>
    <xf numFmtId="171" fontId="1" fillId="0" borderId="85" xfId="0" applyNumberFormat="1" applyFont="1" applyBorder="1" applyAlignment="1">
      <alignment horizontal="center" vertical="center" wrapText="1"/>
    </xf>
    <xf numFmtId="171" fontId="1" fillId="0" borderId="61" xfId="171" applyFont="1" applyFill="1" applyBorder="1" applyAlignment="1" applyProtection="1">
      <alignment horizontal="center" vertical="center" wrapText="1"/>
    </xf>
    <xf numFmtId="2" fontId="1" fillId="0" borderId="85" xfId="59" applyNumberFormat="1" applyFont="1" applyFill="1" applyBorder="1" applyAlignment="1" applyProtection="1">
      <alignment horizontal="center" vertical="center" wrapText="1"/>
    </xf>
    <xf numFmtId="2" fontId="1" fillId="0" borderId="61" xfId="59" applyNumberFormat="1" applyFont="1" applyFill="1" applyBorder="1" applyAlignment="1" applyProtection="1">
      <alignment horizontal="center" vertical="center" wrapText="1"/>
    </xf>
    <xf numFmtId="2" fontId="1" fillId="0" borderId="61" xfId="164" applyNumberFormat="1" applyFont="1" applyFill="1" applyBorder="1" applyAlignment="1" applyProtection="1">
      <alignment horizontal="center" vertical="center" wrapText="1"/>
    </xf>
    <xf numFmtId="2" fontId="1" fillId="16" borderId="61" xfId="164" applyNumberFormat="1" applyFont="1" applyFill="1" applyBorder="1" applyAlignment="1" applyProtection="1">
      <alignment horizontal="center" vertical="center" wrapText="1"/>
    </xf>
    <xf numFmtId="3" fontId="0" fillId="0" borderId="0" xfId="0" applyAlignment="1">
      <alignment horizontal="center" vertical="center" wrapText="1"/>
    </xf>
    <xf numFmtId="3" fontId="0" fillId="0" borderId="0" xfId="0" applyAlignment="1">
      <alignment vertical="center"/>
    </xf>
    <xf numFmtId="3" fontId="73" fillId="0" borderId="0" xfId="0" applyFont="1" applyAlignment="1">
      <alignment vertical="center"/>
    </xf>
    <xf numFmtId="166" fontId="29" fillId="0" borderId="0" xfId="23"/>
    <xf numFmtId="188" fontId="29" fillId="0" borderId="0" xfId="23" applyNumberFormat="1"/>
    <xf numFmtId="181" fontId="29" fillId="0" borderId="0" xfId="23" applyNumberFormat="1"/>
    <xf numFmtId="166" fontId="29" fillId="0" borderId="0" xfId="23" applyAlignment="1">
      <alignment horizontal="center"/>
    </xf>
    <xf numFmtId="181" fontId="29" fillId="0" borderId="0" xfId="23" applyNumberFormat="1" applyAlignment="1">
      <alignment horizontal="center" vertical="center"/>
    </xf>
    <xf numFmtId="181" fontId="4" fillId="0" borderId="0" xfId="0" applyNumberFormat="1" applyFont="1" applyAlignment="1">
      <alignment horizontal="center" vertical="center"/>
    </xf>
    <xf numFmtId="3" fontId="77" fillId="0" borderId="13" xfId="0" applyFont="1" applyBorder="1">
      <alignment wrapText="1"/>
    </xf>
    <xf numFmtId="3" fontId="74" fillId="0" borderId="13" xfId="0" applyFont="1" applyBorder="1">
      <alignment wrapText="1"/>
    </xf>
    <xf numFmtId="3" fontId="74" fillId="0" borderId="17" xfId="0" applyFont="1" applyBorder="1">
      <alignment wrapText="1"/>
    </xf>
    <xf numFmtId="3" fontId="74" fillId="0" borderId="36" xfId="0" applyFont="1" applyBorder="1" applyAlignment="1">
      <alignment horizontal="center" vertical="center" wrapText="1"/>
    </xf>
    <xf numFmtId="3" fontId="74" fillId="20" borderId="36" xfId="0" applyFont="1" applyFill="1" applyBorder="1" applyAlignment="1">
      <alignment horizontal="center" vertical="center" wrapText="1"/>
    </xf>
    <xf numFmtId="3" fontId="74" fillId="18" borderId="36" xfId="0" applyFont="1" applyFill="1" applyBorder="1" applyAlignment="1">
      <alignment horizontal="center" vertical="center" wrapText="1"/>
    </xf>
    <xf numFmtId="3" fontId="74" fillId="18" borderId="54" xfId="0" applyFont="1" applyFill="1" applyBorder="1" applyAlignment="1">
      <alignment horizontal="center" vertical="center" wrapText="1"/>
    </xf>
    <xf numFmtId="3" fontId="74" fillId="18" borderId="50" xfId="0" applyFont="1" applyFill="1" applyBorder="1" applyAlignment="1">
      <alignment horizontal="center" vertical="center" wrapText="1"/>
    </xf>
    <xf numFmtId="3" fontId="78" fillId="0" borderId="37" xfId="0" applyFont="1" applyBorder="1" applyAlignment="1">
      <alignment horizontal="center" vertical="center" wrapText="1"/>
    </xf>
    <xf numFmtId="3" fontId="78" fillId="20" borderId="37" xfId="0" applyFont="1" applyFill="1" applyBorder="1" applyAlignment="1">
      <alignment horizontal="center" vertical="center" wrapText="1"/>
    </xf>
    <xf numFmtId="3" fontId="78" fillId="18" borderId="37" xfId="0" applyFont="1" applyFill="1" applyBorder="1" applyAlignment="1">
      <alignment horizontal="center" vertical="center" wrapText="1"/>
    </xf>
    <xf numFmtId="3" fontId="79" fillId="18" borderId="37" xfId="0" applyFont="1" applyFill="1" applyBorder="1" applyAlignment="1">
      <alignment horizontal="center" vertical="center" wrapText="1"/>
    </xf>
    <xf numFmtId="3" fontId="80" fillId="18" borderId="37" xfId="0" applyFont="1" applyFill="1" applyBorder="1" applyAlignment="1">
      <alignment horizontal="center" vertical="center" wrapText="1"/>
    </xf>
    <xf numFmtId="3" fontId="80" fillId="18" borderId="55" xfId="0" applyFont="1" applyFill="1" applyBorder="1" applyAlignment="1">
      <alignment horizontal="center" vertical="center" wrapText="1"/>
    </xf>
    <xf numFmtId="3" fontId="74" fillId="0" borderId="50" xfId="0" applyFont="1" applyBorder="1" applyAlignment="1">
      <alignment vertical="center" wrapText="1"/>
    </xf>
    <xf numFmtId="3" fontId="74" fillId="18" borderId="50" xfId="0" applyFont="1" applyFill="1" applyBorder="1" applyAlignment="1">
      <alignment vertical="center" wrapText="1"/>
    </xf>
    <xf numFmtId="3" fontId="74" fillId="18" borderId="53" xfId="0" applyFont="1" applyFill="1" applyBorder="1" applyAlignment="1">
      <alignment vertical="center" wrapText="1"/>
    </xf>
    <xf numFmtId="3" fontId="74" fillId="0" borderId="50" xfId="0" applyFont="1" applyBorder="1">
      <alignment wrapText="1"/>
    </xf>
    <xf numFmtId="3" fontId="79" fillId="0" borderId="37" xfId="0" applyFont="1" applyBorder="1" applyAlignment="1">
      <alignment horizontal="center" vertical="center" wrapText="1"/>
    </xf>
    <xf numFmtId="3" fontId="79" fillId="20" borderId="37" xfId="0" applyFont="1" applyFill="1" applyBorder="1" applyAlignment="1">
      <alignment horizontal="center" vertical="center" wrapText="1"/>
    </xf>
    <xf numFmtId="3" fontId="82" fillId="20" borderId="37" xfId="0" applyFont="1" applyFill="1" applyBorder="1" applyAlignment="1">
      <alignment horizontal="center" vertical="center" wrapText="1"/>
    </xf>
    <xf numFmtId="3" fontId="78" fillId="20" borderId="55" xfId="0" applyFont="1" applyFill="1" applyBorder="1" applyAlignment="1">
      <alignment horizontal="center" vertical="center" wrapText="1"/>
    </xf>
    <xf numFmtId="3" fontId="74" fillId="0" borderId="53" xfId="0" applyFont="1" applyBorder="1">
      <alignment wrapText="1"/>
    </xf>
    <xf numFmtId="3" fontId="74" fillId="0" borderId="16" xfId="0" applyFont="1" applyBorder="1">
      <alignment wrapText="1"/>
    </xf>
    <xf numFmtId="3" fontId="83" fillId="0" borderId="13" xfId="0" applyFont="1" applyBorder="1">
      <alignment wrapText="1"/>
    </xf>
    <xf numFmtId="171" fontId="83" fillId="0" borderId="13" xfId="59" applyFont="1" applyBorder="1"/>
    <xf numFmtId="3" fontId="77" fillId="3" borderId="0" xfId="0" applyFont="1" applyFill="1" applyAlignment="1">
      <alignment vertical="center"/>
    </xf>
    <xf numFmtId="3" fontId="77" fillId="0" borderId="129" xfId="0" applyFont="1" applyBorder="1" applyAlignment="1">
      <alignment vertical="center" wrapText="1"/>
    </xf>
    <xf numFmtId="3" fontId="74" fillId="0" borderId="130" xfId="0" applyFont="1" applyBorder="1" applyAlignment="1">
      <alignment vertical="center" wrapText="1"/>
    </xf>
    <xf numFmtId="3" fontId="74" fillId="0" borderId="65" xfId="0" applyFont="1" applyBorder="1" applyAlignment="1">
      <alignment vertical="center" wrapText="1"/>
    </xf>
    <xf numFmtId="3" fontId="74" fillId="0" borderId="65" xfId="0" applyFont="1" applyBorder="1">
      <alignment wrapText="1"/>
    </xf>
    <xf numFmtId="3" fontId="74" fillId="18" borderId="53" xfId="0" applyFont="1" applyFill="1" applyBorder="1" applyAlignment="1">
      <alignment horizontal="center" vertical="center" wrapText="1"/>
    </xf>
    <xf numFmtId="3" fontId="80" fillId="18" borderId="53" xfId="0" applyFont="1" applyFill="1" applyBorder="1" applyAlignment="1">
      <alignment horizontal="center" vertical="center" wrapText="1"/>
    </xf>
    <xf numFmtId="3" fontId="78" fillId="20" borderId="53" xfId="0" applyFont="1" applyFill="1" applyBorder="1" applyAlignment="1">
      <alignment horizontal="center" vertical="center" wrapText="1"/>
    </xf>
    <xf numFmtId="3" fontId="74" fillId="0" borderId="133" xfId="0" applyFont="1" applyBorder="1">
      <alignment wrapText="1"/>
    </xf>
    <xf numFmtId="3" fontId="74" fillId="0" borderId="57" xfId="0" applyFont="1" applyBorder="1">
      <alignment wrapText="1"/>
    </xf>
    <xf numFmtId="3" fontId="74" fillId="0" borderId="134" xfId="0" applyFont="1" applyBorder="1">
      <alignment wrapText="1"/>
    </xf>
    <xf numFmtId="3" fontId="77" fillId="43" borderId="131" xfId="0" applyFont="1" applyFill="1" applyBorder="1" applyAlignment="1">
      <alignment horizontal="center" vertical="center" wrapText="1"/>
    </xf>
    <xf numFmtId="3" fontId="77" fillId="43" borderId="11" xfId="0" applyFont="1" applyFill="1" applyBorder="1" applyAlignment="1">
      <alignment horizontal="center" vertical="center" wrapText="1"/>
    </xf>
    <xf numFmtId="3" fontId="77" fillId="43" borderId="132" xfId="0" applyFont="1" applyFill="1" applyBorder="1" applyAlignment="1">
      <alignment horizontal="center" vertical="center" wrapText="1"/>
    </xf>
    <xf numFmtId="3" fontId="8" fillId="43" borderId="50" xfId="0" applyFont="1" applyFill="1" applyBorder="1" applyAlignment="1">
      <alignment horizontal="center" vertical="center" wrapText="1"/>
    </xf>
    <xf numFmtId="3" fontId="74" fillId="0" borderId="15" xfId="0" applyFont="1" applyBorder="1">
      <alignment wrapText="1"/>
    </xf>
    <xf numFmtId="3" fontId="74" fillId="0" borderId="0" xfId="0" applyFont="1">
      <alignment wrapText="1"/>
    </xf>
    <xf numFmtId="3" fontId="75" fillId="0" borderId="15" xfId="0" applyFont="1" applyBorder="1">
      <alignment wrapText="1"/>
    </xf>
    <xf numFmtId="3" fontId="75" fillId="0" borderId="17" xfId="0" applyFont="1" applyBorder="1">
      <alignment wrapText="1"/>
    </xf>
    <xf numFmtId="3" fontId="75" fillId="0" borderId="13" xfId="0" applyFont="1" applyBorder="1">
      <alignment wrapText="1"/>
    </xf>
    <xf numFmtId="3" fontId="75" fillId="0" borderId="0" xfId="0" applyFont="1">
      <alignment wrapText="1"/>
    </xf>
    <xf numFmtId="3" fontId="85" fillId="0" borderId="17" xfId="0" applyFont="1" applyBorder="1">
      <alignment wrapText="1"/>
    </xf>
    <xf numFmtId="3" fontId="4" fillId="0" borderId="17" xfId="0" applyFont="1" applyBorder="1" applyAlignment="1">
      <alignment horizontal="center"/>
    </xf>
    <xf numFmtId="3" fontId="8" fillId="13" borderId="15" xfId="0" applyFont="1" applyFill="1" applyBorder="1">
      <alignment wrapText="1"/>
    </xf>
    <xf numFmtId="3" fontId="74" fillId="3" borderId="0" xfId="0" applyFont="1" applyFill="1">
      <alignment wrapText="1"/>
    </xf>
    <xf numFmtId="3" fontId="74" fillId="3" borderId="0" xfId="0" applyFont="1" applyFill="1" applyAlignment="1">
      <alignment horizontal="right"/>
    </xf>
    <xf numFmtId="3" fontId="86" fillId="3" borderId="0" xfId="0" applyFont="1" applyFill="1" applyAlignment="1">
      <alignment horizontal="right"/>
    </xf>
    <xf numFmtId="3" fontId="77" fillId="3" borderId="0" xfId="0" applyFont="1" applyFill="1">
      <alignment wrapText="1"/>
    </xf>
    <xf numFmtId="3" fontId="77" fillId="3" borderId="0" xfId="0" applyFont="1" applyFill="1" applyAlignment="1">
      <alignment horizontal="right"/>
    </xf>
    <xf numFmtId="3" fontId="77" fillId="0" borderId="13" xfId="0" applyFont="1" applyBorder="1" applyAlignment="1">
      <alignment horizontal="right" wrapText="1"/>
    </xf>
    <xf numFmtId="3" fontId="77" fillId="0" borderId="13" xfId="0" applyFont="1" applyBorder="1" applyAlignment="1">
      <alignment horizontal="right"/>
    </xf>
    <xf numFmtId="3" fontId="74" fillId="3" borderId="13" xfId="0" applyFont="1" applyFill="1" applyBorder="1">
      <alignment wrapText="1"/>
    </xf>
    <xf numFmtId="3" fontId="77" fillId="0" borderId="13" xfId="0" applyFont="1" applyBorder="1" applyAlignment="1">
      <alignment horizontal="center" vertical="center" wrapText="1"/>
    </xf>
    <xf numFmtId="10" fontId="74" fillId="41" borderId="17" xfId="0" applyNumberFormat="1" applyFont="1" applyFill="1" applyBorder="1">
      <alignment wrapText="1"/>
    </xf>
    <xf numFmtId="3" fontId="74" fillId="0" borderId="13" xfId="0" applyFont="1" applyBorder="1" applyAlignment="1">
      <alignment horizontal="center" wrapText="1"/>
    </xf>
    <xf numFmtId="10" fontId="74" fillId="42" borderId="17" xfId="0" applyNumberFormat="1" applyFont="1" applyFill="1" applyBorder="1">
      <alignment wrapText="1"/>
    </xf>
    <xf numFmtId="10" fontId="77" fillId="0" borderId="13" xfId="0" applyNumberFormat="1" applyFont="1" applyBorder="1">
      <alignment wrapText="1"/>
    </xf>
    <xf numFmtId="10" fontId="77" fillId="39" borderId="13" xfId="0" applyNumberFormat="1" applyFont="1" applyFill="1" applyBorder="1">
      <alignment wrapText="1"/>
    </xf>
    <xf numFmtId="3" fontId="74" fillId="0" borderId="13" xfId="0" applyFont="1" applyBorder="1" applyAlignment="1">
      <alignment horizontal="left" vertical="center"/>
    </xf>
    <xf numFmtId="10" fontId="77" fillId="0" borderId="13" xfId="0" applyNumberFormat="1" applyFont="1" applyBorder="1" applyAlignment="1">
      <alignment horizontal="center" vertical="center" wrapText="1"/>
    </xf>
    <xf numFmtId="10" fontId="77" fillId="40" borderId="13" xfId="0" applyNumberFormat="1" applyFont="1" applyFill="1" applyBorder="1">
      <alignment wrapText="1"/>
    </xf>
    <xf numFmtId="3" fontId="74" fillId="0" borderId="13" xfId="0" applyFont="1" applyBorder="1" applyAlignment="1">
      <alignment horizontal="left" vertical="center" wrapText="1"/>
    </xf>
    <xf numFmtId="1" fontId="74" fillId="0" borderId="13" xfId="0" applyNumberFormat="1" applyFont="1" applyBorder="1" applyAlignment="1">
      <alignment vertical="center" wrapText="1"/>
    </xf>
    <xf numFmtId="10" fontId="74" fillId="0" borderId="17" xfId="0" applyNumberFormat="1" applyFont="1" applyBorder="1">
      <alignment wrapText="1"/>
    </xf>
    <xf numFmtId="172" fontId="74" fillId="3" borderId="0" xfId="0" applyNumberFormat="1" applyFont="1" applyFill="1" applyAlignment="1">
      <alignment horizontal="right"/>
    </xf>
    <xf numFmtId="3" fontId="74" fillId="0" borderId="13" xfId="0" applyFont="1" applyBorder="1" applyAlignment="1">
      <alignment horizontal="center"/>
    </xf>
    <xf numFmtId="3" fontId="77" fillId="3" borderId="0" xfId="0" applyFont="1" applyFill="1" applyAlignment="1">
      <alignment horizontal="right" wrapText="1"/>
    </xf>
    <xf numFmtId="9" fontId="74" fillId="3" borderId="0" xfId="0" applyNumberFormat="1" applyFont="1" applyFill="1" applyAlignment="1">
      <alignment horizontal="right"/>
    </xf>
    <xf numFmtId="172" fontId="77" fillId="0" borderId="13" xfId="59" applyNumberFormat="1" applyFont="1" applyFill="1" applyBorder="1" applyAlignment="1" applyProtection="1">
      <alignment wrapText="1"/>
    </xf>
    <xf numFmtId="3" fontId="74" fillId="3" borderId="85" xfId="0" applyFont="1" applyFill="1" applyBorder="1" applyAlignment="1">
      <alignment horizontal="right"/>
    </xf>
    <xf numFmtId="3" fontId="74" fillId="3" borderId="85" xfId="0" applyFont="1" applyFill="1" applyBorder="1" applyAlignment="1">
      <alignment horizontal="right" wrapText="1"/>
    </xf>
    <xf numFmtId="3" fontId="74" fillId="0" borderId="85" xfId="0" applyFont="1" applyBorder="1" applyAlignment="1">
      <alignment horizontal="right" wrapText="1"/>
    </xf>
    <xf numFmtId="3" fontId="74" fillId="0" borderId="61" xfId="0" applyFont="1" applyBorder="1" applyAlignment="1">
      <alignment horizontal="right" wrapText="1"/>
    </xf>
    <xf numFmtId="3" fontId="74" fillId="0" borderId="50" xfId="0" applyFont="1" applyBorder="1" applyAlignment="1">
      <alignment horizontal="right" wrapText="1"/>
    </xf>
    <xf numFmtId="3" fontId="77" fillId="0" borderId="13" xfId="0" applyFont="1" applyBorder="1" applyAlignment="1">
      <alignment horizontal="left" vertical="center" wrapText="1"/>
    </xf>
    <xf numFmtId="3" fontId="74" fillId="3" borderId="0" xfId="0" applyFont="1" applyFill="1" applyAlignment="1">
      <alignment horizontal="right" wrapText="1"/>
    </xf>
    <xf numFmtId="3" fontId="74" fillId="0" borderId="0" xfId="0" applyFont="1" applyAlignment="1">
      <alignment horizontal="right"/>
    </xf>
    <xf numFmtId="2" fontId="74" fillId="0" borderId="88" xfId="0" applyNumberFormat="1" applyFont="1" applyBorder="1" applyAlignment="1">
      <alignment horizontal="right"/>
    </xf>
    <xf numFmtId="4" fontId="74" fillId="0" borderId="13" xfId="0" applyNumberFormat="1" applyFont="1" applyBorder="1" applyAlignment="1">
      <alignment horizontal="right"/>
    </xf>
    <xf numFmtId="3" fontId="74" fillId="0" borderId="13" xfId="0" applyFont="1" applyBorder="1" applyAlignment="1">
      <alignment horizontal="center" vertical="center" wrapText="1"/>
    </xf>
    <xf numFmtId="4" fontId="74" fillId="3" borderId="0" xfId="0" applyNumberFormat="1" applyFont="1" applyFill="1" applyAlignment="1">
      <alignment horizontal="right"/>
    </xf>
    <xf numFmtId="3" fontId="74" fillId="0" borderId="13" xfId="0" applyFont="1" applyBorder="1" applyAlignment="1">
      <alignment horizontal="right"/>
    </xf>
    <xf numFmtId="1" fontId="77" fillId="0" borderId="13" xfId="0" applyNumberFormat="1" applyFont="1" applyBorder="1">
      <alignment wrapText="1"/>
    </xf>
    <xf numFmtId="4" fontId="74" fillId="0" borderId="13" xfId="0" applyNumberFormat="1" applyFont="1" applyBorder="1" applyAlignment="1">
      <alignment horizontal="center"/>
    </xf>
    <xf numFmtId="3" fontId="74" fillId="3" borderId="13" xfId="0" applyFont="1" applyFill="1" applyBorder="1" applyAlignment="1">
      <alignment horizontal="right"/>
    </xf>
    <xf numFmtId="3" fontId="77" fillId="0" borderId="16" xfId="0" applyFont="1" applyBorder="1">
      <alignment wrapText="1"/>
    </xf>
    <xf numFmtId="3" fontId="77" fillId="0" borderId="16" xfId="0" applyFont="1" applyBorder="1" applyAlignment="1">
      <alignment horizontal="left" vertical="center" wrapText="1"/>
    </xf>
    <xf numFmtId="3" fontId="74" fillId="0" borderId="16" xfId="0" applyFont="1" applyBorder="1" applyAlignment="1">
      <alignment horizontal="center"/>
    </xf>
    <xf numFmtId="3" fontId="74" fillId="3" borderId="16" xfId="0" applyFont="1" applyFill="1" applyBorder="1">
      <alignment wrapText="1"/>
    </xf>
    <xf numFmtId="3" fontId="74" fillId="0" borderId="14" xfId="0" applyFont="1" applyBorder="1">
      <alignment wrapText="1"/>
    </xf>
    <xf numFmtId="173" fontId="74" fillId="0" borderId="13" xfId="0" applyNumberFormat="1" applyFont="1" applyBorder="1" applyAlignment="1">
      <alignment horizontal="center"/>
    </xf>
    <xf numFmtId="174" fontId="74" fillId="0" borderId="13" xfId="0" applyNumberFormat="1" applyFont="1" applyBorder="1" applyAlignment="1">
      <alignment horizontal="center"/>
    </xf>
    <xf numFmtId="3" fontId="74" fillId="17" borderId="0" xfId="0" applyFont="1" applyFill="1" applyAlignment="1">
      <alignment horizontal="right"/>
    </xf>
    <xf numFmtId="3" fontId="74" fillId="17" borderId="0" xfId="0" applyFont="1" applyFill="1">
      <alignment wrapText="1"/>
    </xf>
    <xf numFmtId="3" fontId="74" fillId="18" borderId="13" xfId="0" applyFont="1" applyFill="1" applyBorder="1">
      <alignment wrapText="1"/>
    </xf>
    <xf numFmtId="3" fontId="77" fillId="18" borderId="13" xfId="0" applyFont="1" applyFill="1" applyBorder="1" applyAlignment="1">
      <alignment horizontal="center" vertical="center" wrapText="1"/>
    </xf>
    <xf numFmtId="1" fontId="74" fillId="0" borderId="13" xfId="0" applyNumberFormat="1" applyFont="1" applyBorder="1" applyAlignment="1">
      <alignment horizontal="center"/>
    </xf>
    <xf numFmtId="3" fontId="77" fillId="18" borderId="13" xfId="0" applyFont="1" applyFill="1" applyBorder="1">
      <alignment wrapText="1"/>
    </xf>
    <xf numFmtId="175" fontId="74" fillId="0" borderId="13" xfId="0" applyNumberFormat="1" applyFont="1" applyBorder="1" applyAlignment="1">
      <alignment horizontal="center"/>
    </xf>
    <xf numFmtId="175" fontId="77" fillId="3" borderId="13" xfId="32" applyNumberFormat="1" applyFont="1" applyFill="1" applyBorder="1" applyAlignment="1" applyProtection="1"/>
    <xf numFmtId="175" fontId="74" fillId="3" borderId="13" xfId="32" applyNumberFormat="1" applyFont="1" applyFill="1" applyBorder="1" applyAlignment="1" applyProtection="1">
      <alignment horizontal="center"/>
    </xf>
    <xf numFmtId="175" fontId="74" fillId="3" borderId="13" xfId="32" applyNumberFormat="1" applyFont="1" applyFill="1" applyBorder="1" applyAlignment="1" applyProtection="1"/>
    <xf numFmtId="10" fontId="74" fillId="3" borderId="0" xfId="0" applyNumberFormat="1" applyFont="1" applyFill="1">
      <alignment wrapText="1"/>
    </xf>
    <xf numFmtId="9" fontId="74" fillId="3" borderId="0" xfId="0" applyNumberFormat="1" applyFont="1" applyFill="1">
      <alignment wrapText="1"/>
    </xf>
    <xf numFmtId="9" fontId="74" fillId="3" borderId="13" xfId="0" applyNumberFormat="1" applyFont="1" applyFill="1" applyBorder="1">
      <alignment wrapText="1"/>
    </xf>
    <xf numFmtId="10" fontId="74" fillId="3" borderId="0" xfId="0" applyNumberFormat="1" applyFont="1" applyFill="1" applyAlignment="1">
      <alignment horizontal="right"/>
    </xf>
    <xf numFmtId="3" fontId="77" fillId="3" borderId="0" xfId="0" applyFont="1" applyFill="1" applyAlignment="1">
      <alignment horizontal="right" vertical="center"/>
    </xf>
    <xf numFmtId="181" fontId="13" fillId="0" borderId="0" xfId="23" applyNumberFormat="1" applyFont="1"/>
    <xf numFmtId="3" fontId="74" fillId="3" borderId="19" xfId="0" applyFont="1" applyFill="1" applyBorder="1">
      <alignment wrapText="1"/>
    </xf>
    <xf numFmtId="3" fontId="74" fillId="3" borderId="20" xfId="0" applyFont="1" applyFill="1" applyBorder="1">
      <alignment wrapText="1"/>
    </xf>
    <xf numFmtId="3" fontId="74" fillId="3" borderId="0" xfId="0" applyFont="1" applyFill="1" applyAlignment="1">
      <alignment vertical="center"/>
    </xf>
    <xf numFmtId="3" fontId="87" fillId="3" borderId="0" xfId="0" applyFont="1" applyFill="1" applyAlignment="1">
      <alignment vertical="center" wrapText="1"/>
    </xf>
    <xf numFmtId="3" fontId="88" fillId="0" borderId="13" xfId="0" applyFont="1" applyBorder="1">
      <alignment wrapText="1"/>
    </xf>
    <xf numFmtId="3" fontId="74" fillId="3" borderId="21" xfId="0" applyFont="1" applyFill="1" applyBorder="1">
      <alignment wrapText="1"/>
    </xf>
    <xf numFmtId="0" fontId="77" fillId="0" borderId="13" xfId="41" applyFont="1" applyBorder="1" applyAlignment="1">
      <alignment horizontal="center" vertical="center"/>
    </xf>
    <xf numFmtId="0" fontId="77" fillId="0" borderId="13" xfId="41" applyFont="1" applyBorder="1" applyAlignment="1">
      <alignment horizontal="center" vertical="center" wrapText="1"/>
    </xf>
    <xf numFmtId="0" fontId="74" fillId="0" borderId="13" xfId="41" applyFont="1" applyBorder="1"/>
    <xf numFmtId="3" fontId="74" fillId="0" borderId="13" xfId="41" applyNumberFormat="1" applyFont="1" applyBorder="1" applyAlignment="1">
      <alignment horizontal="center" vertical="center"/>
    </xf>
    <xf numFmtId="2" fontId="74" fillId="0" borderId="13" xfId="41" applyNumberFormat="1" applyFont="1" applyBorder="1" applyAlignment="1">
      <alignment horizontal="center" vertical="center"/>
    </xf>
    <xf numFmtId="2" fontId="89" fillId="0" borderId="13" xfId="41" applyNumberFormat="1" applyFont="1" applyBorder="1" applyAlignment="1">
      <alignment horizontal="center" vertical="center"/>
    </xf>
    <xf numFmtId="3" fontId="89" fillId="0" borderId="13" xfId="0" applyFont="1" applyBorder="1">
      <alignment wrapText="1"/>
    </xf>
    <xf numFmtId="2" fontId="88" fillId="0" borderId="13" xfId="41" applyNumberFormat="1" applyFont="1" applyBorder="1" applyAlignment="1">
      <alignment horizontal="center" vertical="center"/>
    </xf>
    <xf numFmtId="0" fontId="74" fillId="18" borderId="13" xfId="41" applyFont="1" applyFill="1" applyBorder="1"/>
    <xf numFmtId="3" fontId="74" fillId="18" borderId="13" xfId="41" applyNumberFormat="1" applyFont="1" applyFill="1" applyBorder="1" applyAlignment="1">
      <alignment horizontal="center" vertical="center"/>
    </xf>
    <xf numFmtId="2" fontId="88" fillId="18" borderId="13" xfId="41" applyNumberFormat="1" applyFont="1" applyFill="1" applyBorder="1" applyAlignment="1">
      <alignment horizontal="center" vertical="center"/>
    </xf>
    <xf numFmtId="3" fontId="88" fillId="18" borderId="13" xfId="0" applyFont="1" applyFill="1" applyBorder="1">
      <alignment wrapText="1"/>
    </xf>
    <xf numFmtId="2" fontId="74" fillId="18" borderId="13" xfId="41" applyNumberFormat="1" applyFont="1" applyFill="1" applyBorder="1" applyAlignment="1">
      <alignment horizontal="center" vertical="center"/>
    </xf>
    <xf numFmtId="2" fontId="89" fillId="18" borderId="13" xfId="41" applyNumberFormat="1" applyFont="1" applyFill="1" applyBorder="1" applyAlignment="1">
      <alignment horizontal="center" vertical="center"/>
    </xf>
    <xf numFmtId="3" fontId="89" fillId="18" borderId="13" xfId="0" applyFont="1" applyFill="1" applyBorder="1">
      <alignment wrapText="1"/>
    </xf>
    <xf numFmtId="3" fontId="74" fillId="3" borderId="0" xfId="0" applyFont="1" applyFill="1" applyAlignment="1">
      <alignment vertical="center" wrapText="1"/>
    </xf>
    <xf numFmtId="3" fontId="74" fillId="0" borderId="0" xfId="0" applyFont="1" applyAlignment="1">
      <alignment horizontal="center" vertical="center" wrapText="1"/>
    </xf>
    <xf numFmtId="173" fontId="4" fillId="44" borderId="139" xfId="41" applyNumberFormat="1" applyFill="1" applyBorder="1" applyAlignment="1">
      <alignment horizontal="right" vertical="center" indent="1"/>
    </xf>
    <xf numFmtId="173" fontId="4" fillId="44" borderId="140" xfId="41" applyNumberFormat="1" applyFill="1" applyBorder="1" applyAlignment="1">
      <alignment horizontal="right" vertical="center" indent="1"/>
    </xf>
    <xf numFmtId="3" fontId="84" fillId="3" borderId="13" xfId="0" applyFont="1" applyFill="1" applyBorder="1">
      <alignment wrapText="1"/>
    </xf>
    <xf numFmtId="3" fontId="74" fillId="18" borderId="17" xfId="0" applyFont="1" applyFill="1" applyBorder="1">
      <alignment wrapText="1"/>
    </xf>
    <xf numFmtId="171" fontId="29" fillId="0" borderId="0" xfId="59"/>
    <xf numFmtId="186" fontId="74" fillId="0" borderId="0" xfId="59" applyNumberFormat="1" applyFont="1"/>
    <xf numFmtId="3" fontId="74" fillId="0" borderId="17" xfId="0" applyFont="1" applyBorder="1" applyAlignment="1">
      <alignment horizontal="center" vertical="center" wrapText="1"/>
    </xf>
    <xf numFmtId="3" fontId="76" fillId="18" borderId="13" xfId="0" applyFont="1" applyFill="1" applyBorder="1" applyAlignment="1">
      <alignment horizontal="justify" vertical="center" wrapText="1"/>
    </xf>
    <xf numFmtId="171" fontId="29" fillId="0" borderId="0" xfId="59" applyAlignment="1">
      <alignment horizontal="center"/>
    </xf>
    <xf numFmtId="167" fontId="74" fillId="0" borderId="0" xfId="0" applyNumberFormat="1" applyFont="1" applyAlignment="1">
      <alignment vertical="center" wrapText="1"/>
    </xf>
    <xf numFmtId="167" fontId="77" fillId="0" borderId="0" xfId="0" applyNumberFormat="1" applyFont="1" applyAlignment="1">
      <alignment vertical="center" wrapText="1"/>
    </xf>
    <xf numFmtId="167" fontId="74" fillId="0" borderId="18" xfId="0" applyNumberFormat="1" applyFont="1" applyBorder="1" applyAlignment="1">
      <alignment vertical="center" wrapText="1"/>
    </xf>
    <xf numFmtId="167" fontId="74" fillId="3" borderId="0" xfId="0" applyNumberFormat="1" applyFont="1" applyFill="1">
      <alignment wrapText="1"/>
    </xf>
    <xf numFmtId="175" fontId="74" fillId="3" borderId="0" xfId="0" applyNumberFormat="1" applyFont="1" applyFill="1">
      <alignment wrapText="1"/>
    </xf>
    <xf numFmtId="167" fontId="74" fillId="3" borderId="0" xfId="0" applyNumberFormat="1" applyFont="1" applyFill="1" applyAlignment="1">
      <alignment horizontal="center" vertical="center"/>
    </xf>
    <xf numFmtId="167" fontId="74" fillId="3" borderId="0" xfId="0" applyNumberFormat="1" applyFont="1" applyFill="1" applyAlignment="1">
      <alignment horizontal="center"/>
    </xf>
    <xf numFmtId="167" fontId="74" fillId="3" borderId="0" xfId="0" applyNumberFormat="1" applyFont="1" applyFill="1" applyAlignment="1">
      <alignment vertical="center"/>
    </xf>
    <xf numFmtId="3" fontId="91" fillId="0" borderId="23" xfId="0" applyFont="1" applyBorder="1">
      <alignment wrapText="1"/>
    </xf>
    <xf numFmtId="178" fontId="74" fillId="3" borderId="0" xfId="0" applyNumberFormat="1" applyFont="1" applyFill="1">
      <alignment wrapText="1"/>
    </xf>
    <xf numFmtId="3" fontId="91" fillId="0" borderId="24" xfId="0" applyFont="1" applyBorder="1">
      <alignment wrapText="1"/>
    </xf>
    <xf numFmtId="179" fontId="74" fillId="3" borderId="0" xfId="0" applyNumberFormat="1" applyFont="1" applyFill="1">
      <alignment wrapText="1"/>
    </xf>
    <xf numFmtId="3" fontId="74" fillId="3" borderId="24" xfId="0" applyFont="1" applyFill="1" applyBorder="1">
      <alignment wrapText="1"/>
    </xf>
    <xf numFmtId="167" fontId="84" fillId="0" borderId="141" xfId="0" applyNumberFormat="1" applyFont="1" applyBorder="1" applyAlignment="1">
      <alignment vertical="center"/>
    </xf>
    <xf numFmtId="172" fontId="76" fillId="0" borderId="141" xfId="23" applyNumberFormat="1" applyFont="1" applyFill="1" applyBorder="1" applyAlignment="1" applyProtection="1">
      <alignment horizontal="center" vertical="center"/>
    </xf>
    <xf numFmtId="3" fontId="4" fillId="0" borderId="136" xfId="0" applyFont="1" applyBorder="1">
      <alignment wrapText="1"/>
    </xf>
    <xf numFmtId="3" fontId="0" fillId="18" borderId="137" xfId="0" applyFill="1" applyBorder="1">
      <alignment wrapText="1"/>
    </xf>
    <xf numFmtId="3" fontId="0" fillId="0" borderId="137" xfId="0" applyBorder="1">
      <alignment wrapText="1"/>
    </xf>
    <xf numFmtId="171" fontId="0" fillId="0" borderId="137" xfId="0" applyNumberFormat="1" applyBorder="1">
      <alignment wrapText="1"/>
    </xf>
    <xf numFmtId="2" fontId="0" fillId="0" borderId="137" xfId="0" applyNumberFormat="1" applyBorder="1">
      <alignment wrapText="1"/>
    </xf>
    <xf numFmtId="1" fontId="0" fillId="0" borderId="137" xfId="0" applyNumberFormat="1" applyBorder="1">
      <alignment wrapText="1"/>
    </xf>
    <xf numFmtId="3" fontId="4" fillId="0" borderId="6" xfId="0" applyFont="1" applyBorder="1">
      <alignment wrapText="1"/>
    </xf>
    <xf numFmtId="3" fontId="0" fillId="18" borderId="5" xfId="0" applyFill="1" applyBorder="1">
      <alignment wrapText="1"/>
    </xf>
    <xf numFmtId="3" fontId="4" fillId="18" borderId="135" xfId="0" applyFont="1" applyFill="1" applyBorder="1">
      <alignment wrapText="1"/>
    </xf>
    <xf numFmtId="3" fontId="4" fillId="0" borderId="138" xfId="0" applyFont="1" applyBorder="1" applyAlignment="1">
      <alignment horizontal="right" wrapText="1"/>
    </xf>
    <xf numFmtId="173" fontId="0" fillId="0" borderId="0" xfId="0" applyNumberFormat="1">
      <alignment wrapText="1"/>
    </xf>
    <xf numFmtId="3" fontId="73" fillId="0" borderId="0" xfId="0" applyFont="1" applyAlignment="1">
      <alignment vertical="center" wrapText="1"/>
    </xf>
    <xf numFmtId="171" fontId="29" fillId="0" borderId="0" xfId="59" applyAlignment="1">
      <alignment wrapText="1"/>
    </xf>
    <xf numFmtId="172" fontId="29" fillId="0" borderId="0" xfId="59" applyNumberFormat="1" applyAlignment="1">
      <alignment wrapText="1"/>
    </xf>
    <xf numFmtId="183" fontId="0" fillId="0" borderId="0" xfId="0" applyNumberFormat="1">
      <alignment wrapText="1"/>
    </xf>
    <xf numFmtId="3" fontId="73" fillId="18" borderId="0" xfId="0" applyFont="1" applyFill="1" applyAlignment="1">
      <alignment vertical="center" wrapText="1"/>
    </xf>
    <xf numFmtId="3" fontId="0" fillId="0" borderId="0" xfId="0" applyAlignment="1">
      <alignment vertical="center" wrapText="1"/>
    </xf>
    <xf numFmtId="3" fontId="86" fillId="3" borderId="0" xfId="0" applyFont="1" applyFill="1" applyAlignment="1"/>
    <xf numFmtId="3" fontId="0" fillId="3" borderId="0" xfId="0" applyFill="1" applyAlignment="1"/>
    <xf numFmtId="3" fontId="77" fillId="3" borderId="0" xfId="0" applyFont="1" applyFill="1" applyAlignment="1"/>
    <xf numFmtId="3" fontId="0" fillId="43" borderId="144" xfId="0" applyFill="1" applyBorder="1" applyAlignment="1">
      <alignment horizontal="center" vertical="center"/>
    </xf>
    <xf numFmtId="3" fontId="0" fillId="43" borderId="145" xfId="0" applyFill="1" applyBorder="1" applyAlignment="1">
      <alignment horizontal="center" vertical="center"/>
    </xf>
    <xf numFmtId="3" fontId="0" fillId="43" borderId="145" xfId="0" applyFill="1" applyBorder="1" applyAlignment="1">
      <alignment horizontal="center" vertical="center" wrapText="1"/>
    </xf>
    <xf numFmtId="3" fontId="0" fillId="43" borderId="146" xfId="0" applyFill="1" applyBorder="1" applyAlignment="1">
      <alignment horizontal="center" vertical="center"/>
    </xf>
    <xf numFmtId="3" fontId="0" fillId="18" borderId="144" xfId="0" applyFill="1" applyBorder="1">
      <alignment wrapText="1"/>
    </xf>
    <xf numFmtId="3" fontId="0" fillId="18" borderId="95" xfId="0" applyFill="1" applyBorder="1" applyAlignment="1">
      <alignment horizontal="center" wrapText="1"/>
    </xf>
    <xf numFmtId="3" fontId="0" fillId="18" borderId="146" xfId="0" applyFill="1" applyBorder="1" applyAlignment="1">
      <alignment horizontal="center" wrapText="1"/>
    </xf>
    <xf numFmtId="172" fontId="0" fillId="18" borderId="37" xfId="59" applyNumberFormat="1" applyFont="1" applyFill="1" applyBorder="1" applyAlignment="1">
      <alignment horizontal="center" vertical="center" wrapText="1"/>
    </xf>
    <xf numFmtId="3" fontId="0" fillId="18" borderId="142" xfId="0" applyFill="1" applyBorder="1" applyAlignment="1">
      <alignment vertical="center" wrapText="1"/>
    </xf>
    <xf numFmtId="3" fontId="0" fillId="18" borderId="37" xfId="0" applyFill="1" applyBorder="1" applyAlignment="1">
      <alignment horizontal="center" vertical="center" wrapText="1"/>
    </xf>
    <xf numFmtId="3" fontId="0" fillId="18" borderId="143" xfId="0" applyFill="1" applyBorder="1" applyAlignment="1">
      <alignment horizontal="center" vertical="center" wrapText="1"/>
    </xf>
    <xf numFmtId="3" fontId="0" fillId="18" borderId="0" xfId="0" applyFill="1" applyAlignment="1"/>
    <xf numFmtId="3" fontId="0" fillId="18" borderId="0" xfId="0" applyFill="1">
      <alignment wrapText="1"/>
    </xf>
    <xf numFmtId="9" fontId="4" fillId="0" borderId="0" xfId="59" quotePrefix="1" applyNumberFormat="1" applyFont="1" applyAlignment="1">
      <alignment wrapText="1"/>
    </xf>
    <xf numFmtId="3" fontId="0" fillId="0" borderId="0" xfId="0" quotePrefix="1">
      <alignment wrapText="1"/>
    </xf>
    <xf numFmtId="3" fontId="0" fillId="0" borderId="13" xfId="0" applyBorder="1" applyAlignment="1"/>
    <xf numFmtId="0" fontId="4" fillId="0" borderId="15" xfId="41" applyBorder="1"/>
    <xf numFmtId="3" fontId="0" fillId="0" borderId="15" xfId="0" applyBorder="1" applyAlignment="1"/>
    <xf numFmtId="186" fontId="29" fillId="0" borderId="0" xfId="59" applyNumberFormat="1" applyAlignment="1">
      <alignment wrapText="1"/>
    </xf>
    <xf numFmtId="3" fontId="36" fillId="0" borderId="17" xfId="0" applyFont="1" applyBorder="1">
      <alignment wrapText="1"/>
    </xf>
    <xf numFmtId="0" fontId="1" fillId="0" borderId="18" xfId="41" applyFont="1" applyBorder="1" applyAlignment="1">
      <alignment vertical="center"/>
    </xf>
    <xf numFmtId="3" fontId="8" fillId="0" borderId="18" xfId="41" applyNumberFormat="1" applyFont="1" applyBorder="1" applyAlignment="1">
      <alignment horizontal="center" vertical="center" wrapText="1"/>
    </xf>
    <xf numFmtId="0" fontId="4" fillId="3" borderId="18" xfId="41" applyFill="1" applyBorder="1"/>
    <xf numFmtId="3" fontId="4" fillId="3" borderId="18" xfId="41" applyNumberFormat="1" applyFill="1" applyBorder="1"/>
    <xf numFmtId="3" fontId="0" fillId="0" borderId="0" xfId="0" applyAlignment="1"/>
    <xf numFmtId="3" fontId="0" fillId="0" borderId="0" xfId="0" applyAlignment="1">
      <alignment horizontal="center" wrapText="1"/>
    </xf>
    <xf numFmtId="3" fontId="0" fillId="0" borderId="0" xfId="0" applyAlignment="1">
      <alignment horizontal="center" vertical="center"/>
    </xf>
    <xf numFmtId="3" fontId="12" fillId="3" borderId="0" xfId="0" applyFont="1" applyFill="1" applyAlignment="1">
      <alignment horizontal="center" vertical="center" wrapText="1"/>
    </xf>
    <xf numFmtId="3" fontId="94" fillId="3" borderId="0" xfId="0" applyFont="1" applyFill="1">
      <alignment wrapText="1"/>
    </xf>
    <xf numFmtId="3" fontId="94" fillId="3" borderId="0" xfId="0" applyFont="1" applyFill="1" applyAlignment="1">
      <alignment horizontal="center"/>
    </xf>
    <xf numFmtId="3" fontId="94" fillId="3" borderId="0" xfId="0" applyFont="1" applyFill="1" applyAlignment="1">
      <alignment horizontal="left" vertical="center"/>
    </xf>
    <xf numFmtId="3" fontId="94" fillId="3" borderId="0" xfId="0" applyFont="1" applyFill="1" applyAlignment="1">
      <alignment vertical="center"/>
    </xf>
    <xf numFmtId="3" fontId="71" fillId="3" borderId="0" xfId="0" applyFont="1" applyFill="1">
      <alignment wrapText="1"/>
    </xf>
    <xf numFmtId="3" fontId="94" fillId="3" borderId="0" xfId="0" applyFont="1" applyFill="1" applyAlignment="1">
      <alignment horizontal="left" vertical="center" wrapText="1"/>
    </xf>
    <xf numFmtId="3" fontId="77" fillId="45" borderId="0" xfId="0" applyFont="1" applyFill="1" applyAlignment="1">
      <alignment vertical="center"/>
    </xf>
    <xf numFmtId="3" fontId="76" fillId="3" borderId="0" xfId="0" applyFont="1" applyFill="1">
      <alignment wrapText="1"/>
    </xf>
    <xf numFmtId="3" fontId="95" fillId="3" borderId="0" xfId="0" applyFont="1" applyFill="1">
      <alignment wrapText="1"/>
    </xf>
    <xf numFmtId="3" fontId="77" fillId="46" borderId="62" xfId="0" applyFont="1" applyFill="1" applyBorder="1" applyAlignment="1">
      <alignment horizontal="center" vertical="center" textRotation="90" wrapText="1"/>
    </xf>
    <xf numFmtId="3" fontId="77" fillId="46" borderId="65" xfId="0" applyFont="1" applyFill="1" applyBorder="1" applyAlignment="1">
      <alignment horizontal="center" vertical="center" textRotation="90" wrapText="1"/>
    </xf>
    <xf numFmtId="3" fontId="96" fillId="0" borderId="61" xfId="0" applyFont="1" applyBorder="1" applyAlignment="1">
      <alignment horizontal="left" vertical="center" wrapText="1"/>
    </xf>
    <xf numFmtId="4" fontId="0" fillId="0" borderId="62" xfId="23" applyNumberFormat="1" applyFont="1" applyFill="1" applyBorder="1" applyAlignment="1">
      <alignment horizontal="right" vertical="center" wrapText="1" indent="1"/>
    </xf>
    <xf numFmtId="4" fontId="0" fillId="0" borderId="63" xfId="23" applyNumberFormat="1" applyFont="1" applyFill="1" applyBorder="1" applyAlignment="1">
      <alignment horizontal="right" vertical="center" wrapText="1" indent="1"/>
    </xf>
    <xf numFmtId="4" fontId="0" fillId="18" borderId="63" xfId="0" applyNumberFormat="1" applyFill="1" applyBorder="1" applyAlignment="1">
      <alignment horizontal="right" vertical="center" indent="1"/>
    </xf>
    <xf numFmtId="4" fontId="0" fillId="17" borderId="63" xfId="0" applyNumberFormat="1" applyFill="1" applyBorder="1" applyAlignment="1">
      <alignment horizontal="right" vertical="center" indent="1"/>
    </xf>
    <xf numFmtId="10" fontId="0" fillId="18" borderId="64" xfId="59" applyNumberFormat="1" applyFont="1" applyFill="1" applyBorder="1" applyAlignment="1" applyProtection="1">
      <alignment horizontal="right" vertical="center" indent="1"/>
    </xf>
    <xf numFmtId="4" fontId="0" fillId="0" borderId="62" xfId="0" applyNumberFormat="1" applyBorder="1" applyAlignment="1">
      <alignment horizontal="right" vertical="center" indent="1"/>
    </xf>
    <xf numFmtId="4" fontId="0" fillId="0" borderId="63" xfId="0" applyNumberFormat="1" applyBorder="1" applyAlignment="1">
      <alignment horizontal="right" vertical="center" indent="1"/>
    </xf>
    <xf numFmtId="4" fontId="0" fillId="0" borderId="65" xfId="0" applyNumberFormat="1" applyBorder="1" applyAlignment="1">
      <alignment horizontal="right" vertical="center" indent="1"/>
    </xf>
    <xf numFmtId="4" fontId="0" fillId="18" borderId="65" xfId="0" applyNumberFormat="1" applyFill="1" applyBorder="1" applyAlignment="1">
      <alignment horizontal="right" vertical="center" indent="1"/>
    </xf>
    <xf numFmtId="177" fontId="76" fillId="3" borderId="0" xfId="0" applyNumberFormat="1" applyFont="1" applyFill="1">
      <alignment wrapText="1"/>
    </xf>
    <xf numFmtId="4" fontId="0" fillId="18" borderId="64" xfId="59" quotePrefix="1" applyNumberFormat="1" applyFont="1" applyFill="1" applyBorder="1" applyAlignment="1" applyProtection="1">
      <alignment horizontal="right" vertical="center" indent="1"/>
    </xf>
    <xf numFmtId="10" fontId="0" fillId="18" borderId="64" xfId="59" quotePrefix="1" applyNumberFormat="1" applyFont="1" applyFill="1" applyBorder="1" applyAlignment="1" applyProtection="1">
      <alignment horizontal="right" vertical="center" indent="1"/>
    </xf>
    <xf numFmtId="3" fontId="94" fillId="17" borderId="0" xfId="0" applyFont="1" applyFill="1" applyAlignment="1">
      <alignment vertical="center"/>
    </xf>
    <xf numFmtId="3" fontId="94" fillId="17" borderId="0" xfId="0" applyFont="1" applyFill="1" applyAlignment="1">
      <alignment horizontal="left" vertical="center"/>
    </xf>
    <xf numFmtId="3" fontId="94" fillId="17" borderId="0" xfId="0" applyFont="1" applyFill="1" applyAlignment="1">
      <alignment horizontal="center"/>
    </xf>
    <xf numFmtId="3" fontId="98" fillId="3" borderId="0" xfId="0" applyFont="1" applyFill="1" applyAlignment="1">
      <alignment vertical="center"/>
    </xf>
    <xf numFmtId="3" fontId="97" fillId="0" borderId="61" xfId="0" applyFont="1" applyBorder="1" applyAlignment="1">
      <alignment vertical="center"/>
    </xf>
    <xf numFmtId="4" fontId="77" fillId="0" borderId="66" xfId="0" applyNumberFormat="1" applyFont="1" applyBorder="1" applyAlignment="1">
      <alignment horizontal="right" vertical="center" indent="1"/>
    </xf>
    <xf numFmtId="4" fontId="77" fillId="0" borderId="67" xfId="0" applyNumberFormat="1" applyFont="1" applyBorder="1" applyAlignment="1">
      <alignment horizontal="right" vertical="center" indent="1"/>
    </xf>
    <xf numFmtId="10" fontId="77" fillId="0" borderId="68" xfId="59" applyNumberFormat="1" applyFont="1" applyFill="1" applyBorder="1" applyAlignment="1" applyProtection="1">
      <alignment horizontal="right" vertical="center" indent="1"/>
    </xf>
    <xf numFmtId="3" fontId="76" fillId="0" borderId="0" xfId="0" applyFont="1">
      <alignment wrapText="1"/>
    </xf>
    <xf numFmtId="177" fontId="76" fillId="0" borderId="0" xfId="0" applyNumberFormat="1" applyFont="1">
      <alignment wrapText="1"/>
    </xf>
    <xf numFmtId="3" fontId="73" fillId="0" borderId="0" xfId="0" applyFont="1" applyAlignment="1">
      <alignment horizontal="center" vertical="center"/>
    </xf>
    <xf numFmtId="3" fontId="99" fillId="47" borderId="102" xfId="0" applyFont="1" applyFill="1" applyBorder="1" applyAlignment="1">
      <alignment vertical="center" wrapText="1"/>
    </xf>
    <xf numFmtId="3" fontId="99" fillId="47" borderId="103" xfId="0" applyFont="1" applyFill="1" applyBorder="1" applyAlignment="1">
      <alignment horizontal="center" vertical="center" wrapText="1"/>
    </xf>
    <xf numFmtId="1" fontId="99" fillId="47" borderId="103" xfId="62" applyNumberFormat="1" applyFont="1" applyFill="1" applyBorder="1" applyAlignment="1" applyProtection="1">
      <alignment horizontal="center" vertical="center" wrapText="1"/>
    </xf>
    <xf numFmtId="180" fontId="99" fillId="47" borderId="103" xfId="27" applyNumberFormat="1" applyFont="1" applyFill="1" applyBorder="1" applyAlignment="1" applyProtection="1">
      <alignment horizontal="center" vertical="center" wrapText="1"/>
    </xf>
    <xf numFmtId="3" fontId="99" fillId="47" borderId="104" xfId="0" applyFont="1" applyFill="1" applyBorder="1" applyAlignment="1">
      <alignment horizontal="left" vertical="center" wrapText="1"/>
    </xf>
    <xf numFmtId="3" fontId="0" fillId="45" borderId="0" xfId="0" applyFill="1">
      <alignment wrapText="1"/>
    </xf>
    <xf numFmtId="3" fontId="0" fillId="45" borderId="13" xfId="0" applyFill="1" applyBorder="1">
      <alignment wrapText="1"/>
    </xf>
    <xf numFmtId="3" fontId="99" fillId="0" borderId="92" xfId="0" applyFont="1" applyBorder="1" applyAlignment="1">
      <alignment vertical="center" wrapText="1"/>
    </xf>
    <xf numFmtId="3" fontId="100" fillId="0" borderId="85" xfId="0" applyFont="1" applyBorder="1" applyAlignment="1">
      <alignment horizontal="justify" vertical="center" wrapText="1"/>
    </xf>
    <xf numFmtId="4" fontId="100" fillId="0" borderId="85" xfId="0" applyNumberFormat="1" applyFont="1" applyBorder="1" applyAlignment="1">
      <alignment horizontal="center" vertical="center" wrapText="1"/>
    </xf>
    <xf numFmtId="4" fontId="100" fillId="3" borderId="85" xfId="0" applyNumberFormat="1" applyFont="1" applyFill="1" applyBorder="1" applyAlignment="1">
      <alignment horizontal="center" vertical="center" wrapText="1"/>
    </xf>
    <xf numFmtId="4" fontId="100" fillId="18" borderId="85" xfId="0" applyNumberFormat="1" applyFont="1" applyFill="1" applyBorder="1" applyAlignment="1">
      <alignment horizontal="center" vertical="center" wrapText="1"/>
    </xf>
    <xf numFmtId="3" fontId="100" fillId="0" borderId="85" xfId="0" applyFont="1" applyBorder="1" applyAlignment="1">
      <alignment horizontal="center" vertical="center" wrapText="1"/>
    </xf>
    <xf numFmtId="3" fontId="100" fillId="0" borderId="91" xfId="0" applyFont="1" applyBorder="1" applyAlignment="1">
      <alignment vertical="center" wrapText="1"/>
    </xf>
    <xf numFmtId="3" fontId="78" fillId="0" borderId="13" xfId="0" applyFont="1" applyBorder="1">
      <alignment wrapText="1"/>
    </xf>
    <xf numFmtId="3" fontId="100" fillId="0" borderId="85" xfId="0" applyFont="1" applyBorder="1" applyAlignment="1">
      <alignment vertical="center" wrapText="1"/>
    </xf>
    <xf numFmtId="3" fontId="100" fillId="3" borderId="85" xfId="0" applyFont="1" applyFill="1" applyBorder="1" applyAlignment="1">
      <alignment horizontal="center" vertical="center" wrapText="1"/>
    </xf>
    <xf numFmtId="3" fontId="100" fillId="18" borderId="85" xfId="0" applyFont="1" applyFill="1" applyBorder="1" applyAlignment="1">
      <alignment horizontal="center" vertical="center" wrapText="1"/>
    </xf>
    <xf numFmtId="3" fontId="99" fillId="18" borderId="92" xfId="0" applyFont="1" applyFill="1" applyBorder="1" applyAlignment="1">
      <alignment vertical="center" wrapText="1"/>
    </xf>
    <xf numFmtId="3" fontId="100" fillId="18" borderId="85" xfId="0" applyFont="1" applyFill="1" applyBorder="1" applyAlignment="1">
      <alignment vertical="center" wrapText="1"/>
    </xf>
    <xf numFmtId="177" fontId="78" fillId="0" borderId="13" xfId="0" applyNumberFormat="1" applyFont="1" applyBorder="1">
      <alignment wrapText="1"/>
    </xf>
    <xf numFmtId="177" fontId="0" fillId="0" borderId="13" xfId="0" applyNumberFormat="1" applyBorder="1">
      <alignment wrapText="1"/>
    </xf>
    <xf numFmtId="3" fontId="100" fillId="36" borderId="85" xfId="0" applyFont="1" applyFill="1" applyBorder="1" applyAlignment="1">
      <alignment horizontal="center" vertical="center" wrapText="1"/>
    </xf>
    <xf numFmtId="3" fontId="100" fillId="0" borderId="91" xfId="0" applyFont="1" applyBorder="1" applyAlignment="1">
      <alignment horizontal="left" vertical="center" wrapText="1"/>
    </xf>
    <xf numFmtId="177" fontId="95" fillId="12" borderId="13" xfId="0" applyNumberFormat="1" applyFont="1" applyFill="1" applyBorder="1">
      <alignment wrapText="1"/>
    </xf>
    <xf numFmtId="3" fontId="99" fillId="0" borderId="70" xfId="0" applyFont="1" applyBorder="1" applyAlignment="1">
      <alignment vertical="center" wrapText="1"/>
    </xf>
    <xf numFmtId="3" fontId="100" fillId="0" borderId="89" xfId="0" applyFont="1" applyBorder="1" applyAlignment="1">
      <alignment vertical="center" wrapText="1"/>
    </xf>
    <xf numFmtId="3" fontId="100" fillId="0" borderId="61" xfId="0" applyFont="1" applyBorder="1" applyAlignment="1">
      <alignment horizontal="center" vertical="center" wrapText="1"/>
    </xf>
    <xf numFmtId="3" fontId="100" fillId="0" borderId="87" xfId="0" applyFont="1" applyBorder="1" applyAlignment="1">
      <alignment horizontal="center" vertical="center" wrapText="1"/>
    </xf>
    <xf numFmtId="3" fontId="100" fillId="0" borderId="90" xfId="0" applyFont="1" applyBorder="1" applyAlignment="1">
      <alignment horizontal="center" vertical="center" wrapText="1"/>
    </xf>
    <xf numFmtId="3" fontId="100" fillId="0" borderId="89" xfId="0" applyFont="1" applyBorder="1" applyAlignment="1">
      <alignment horizontal="center" vertical="center" wrapText="1"/>
    </xf>
    <xf numFmtId="3" fontId="100" fillId="0" borderId="72" xfId="0" applyFont="1" applyBorder="1" applyAlignment="1">
      <alignment horizontal="left" vertical="center" wrapText="1"/>
    </xf>
    <xf numFmtId="177" fontId="102" fillId="12" borderId="13" xfId="0" applyNumberFormat="1" applyFont="1" applyFill="1" applyBorder="1">
      <alignment wrapText="1"/>
    </xf>
    <xf numFmtId="3" fontId="99" fillId="0" borderId="73" xfId="0" applyFont="1" applyBorder="1" applyAlignment="1">
      <alignment vertical="center" wrapText="1"/>
    </xf>
    <xf numFmtId="3" fontId="100" fillId="0" borderId="74" xfId="0" applyFont="1" applyBorder="1" applyAlignment="1">
      <alignment vertical="center" wrapText="1"/>
    </xf>
    <xf numFmtId="3" fontId="100" fillId="0" borderId="74" xfId="0" applyFont="1" applyBorder="1" applyAlignment="1">
      <alignment horizontal="center" vertical="center" wrapText="1"/>
    </xf>
    <xf numFmtId="3" fontId="100" fillId="18" borderId="74" xfId="0" applyFont="1" applyFill="1" applyBorder="1" applyAlignment="1">
      <alignment horizontal="center" vertical="center" wrapText="1"/>
    </xf>
    <xf numFmtId="3" fontId="100" fillId="36" borderId="74" xfId="0" applyFont="1" applyFill="1" applyBorder="1" applyAlignment="1">
      <alignment horizontal="center" vertical="center" wrapText="1"/>
    </xf>
    <xf numFmtId="3" fontId="100" fillId="0" borderId="75" xfId="0" applyFont="1" applyBorder="1" applyAlignment="1">
      <alignment horizontal="left" vertical="center" wrapText="1"/>
    </xf>
    <xf numFmtId="3" fontId="95" fillId="0" borderId="13" xfId="0" applyFont="1" applyBorder="1">
      <alignment wrapText="1"/>
    </xf>
    <xf numFmtId="10" fontId="78" fillId="0" borderId="13" xfId="0" applyNumberFormat="1" applyFont="1" applyBorder="1">
      <alignment wrapText="1"/>
    </xf>
    <xf numFmtId="3" fontId="0" fillId="47" borderId="0" xfId="0" applyFill="1">
      <alignment wrapText="1"/>
    </xf>
    <xf numFmtId="3" fontId="78" fillId="47" borderId="13" xfId="0" applyFont="1" applyFill="1" applyBorder="1">
      <alignment wrapText="1"/>
    </xf>
    <xf numFmtId="3" fontId="88" fillId="47" borderId="13" xfId="0" applyFont="1" applyFill="1" applyBorder="1">
      <alignment wrapText="1"/>
    </xf>
    <xf numFmtId="3" fontId="0" fillId="47" borderId="13" xfId="0" applyFill="1" applyBorder="1">
      <alignment wrapText="1"/>
    </xf>
    <xf numFmtId="3" fontId="99" fillId="0" borderId="106" xfId="0" applyFont="1" applyBorder="1" applyAlignment="1">
      <alignment vertical="center" wrapText="1"/>
    </xf>
    <xf numFmtId="3" fontId="100" fillId="0" borderId="107" xfId="0" applyFont="1" applyBorder="1" applyAlignment="1">
      <alignment horizontal="left" vertical="center" wrapText="1"/>
    </xf>
    <xf numFmtId="3" fontId="100" fillId="0" borderId="107" xfId="0" applyFont="1" applyBorder="1" applyAlignment="1">
      <alignment horizontal="center" vertical="center" wrapText="1"/>
    </xf>
    <xf numFmtId="3" fontId="100" fillId="0" borderId="104" xfId="0" applyFont="1" applyBorder="1" applyAlignment="1">
      <alignment horizontal="left" vertical="center" wrapText="1"/>
    </xf>
    <xf numFmtId="172" fontId="78" fillId="0" borderId="13" xfId="0" applyNumberFormat="1" applyFont="1" applyBorder="1">
      <alignment wrapText="1"/>
    </xf>
    <xf numFmtId="172" fontId="88" fillId="0" borderId="13" xfId="0" applyNumberFormat="1" applyFont="1" applyBorder="1">
      <alignment wrapText="1"/>
    </xf>
    <xf numFmtId="172" fontId="0" fillId="0" borderId="13" xfId="0" applyNumberFormat="1" applyBorder="1">
      <alignment wrapText="1"/>
    </xf>
    <xf numFmtId="3" fontId="100" fillId="0" borderId="94" xfId="0" applyFont="1" applyBorder="1" applyAlignment="1">
      <alignment horizontal="left" vertical="center" wrapText="1"/>
    </xf>
    <xf numFmtId="3" fontId="99" fillId="47" borderId="109" xfId="0" applyFont="1" applyFill="1" applyBorder="1" applyAlignment="1">
      <alignment horizontal="left" vertical="center" wrapText="1"/>
    </xf>
    <xf numFmtId="3" fontId="99" fillId="47" borderId="110" xfId="0" applyFont="1" applyFill="1" applyBorder="1" applyAlignment="1">
      <alignment horizontal="left" vertical="center" wrapText="1"/>
    </xf>
    <xf numFmtId="0" fontId="103" fillId="47" borderId="13" xfId="22" applyFont="1" applyFill="1" applyBorder="1"/>
    <xf numFmtId="3" fontId="99" fillId="0" borderId="102" xfId="0" applyFont="1" applyBorder="1" applyAlignment="1">
      <alignment vertical="center" wrapText="1"/>
    </xf>
    <xf numFmtId="3" fontId="100" fillId="0" borderId="103" xfId="0" applyFont="1" applyBorder="1" applyAlignment="1">
      <alignment vertical="center" wrapText="1"/>
    </xf>
    <xf numFmtId="3" fontId="100" fillId="0" borderId="103" xfId="0" applyFont="1" applyBorder="1" applyAlignment="1">
      <alignment horizontal="center" vertical="center" wrapText="1"/>
    </xf>
    <xf numFmtId="3" fontId="99" fillId="0" borderId="85" xfId="0" applyFont="1" applyBorder="1" applyAlignment="1">
      <alignment vertical="center" wrapText="1"/>
    </xf>
    <xf numFmtId="3" fontId="100" fillId="18" borderId="89" xfId="0" applyFont="1" applyFill="1" applyBorder="1" applyAlignment="1">
      <alignment horizontal="center" vertical="center" wrapText="1"/>
    </xf>
    <xf numFmtId="3" fontId="100" fillId="36" borderId="89" xfId="0" applyFont="1" applyFill="1" applyBorder="1" applyAlignment="1">
      <alignment horizontal="center" vertical="center" wrapText="1"/>
    </xf>
    <xf numFmtId="3" fontId="100" fillId="0" borderId="85" xfId="0" applyFont="1" applyBorder="1" applyAlignment="1">
      <alignment horizontal="center" vertical="center"/>
    </xf>
    <xf numFmtId="3" fontId="100" fillId="0" borderId="87" xfId="0" applyFont="1" applyBorder="1" applyAlignment="1">
      <alignment horizontal="center" vertical="center"/>
    </xf>
    <xf numFmtId="3" fontId="100" fillId="18" borderId="87" xfId="0" applyFont="1" applyFill="1" applyBorder="1" applyAlignment="1">
      <alignment horizontal="center" vertical="center"/>
    </xf>
    <xf numFmtId="0" fontId="95" fillId="0" borderId="13" xfId="41" applyFont="1" applyBorder="1" applyAlignment="1">
      <alignment horizontal="center" vertical="center" wrapText="1"/>
    </xf>
    <xf numFmtId="3" fontId="99" fillId="0" borderId="8" xfId="0" applyFont="1" applyBorder="1" applyAlignment="1">
      <alignment vertical="center" wrapText="1"/>
    </xf>
    <xf numFmtId="3" fontId="100" fillId="0" borderId="7" xfId="0" applyFont="1" applyBorder="1" applyAlignment="1">
      <alignment vertical="center" wrapText="1"/>
    </xf>
    <xf numFmtId="3" fontId="100" fillId="0" borderId="7" xfId="0" applyFont="1" applyBorder="1" applyAlignment="1">
      <alignment horizontal="center" vertical="center" wrapText="1"/>
    </xf>
    <xf numFmtId="3" fontId="100" fillId="18" borderId="7" xfId="0" applyFont="1" applyFill="1" applyBorder="1" applyAlignment="1">
      <alignment horizontal="center" vertical="center" wrapText="1"/>
    </xf>
    <xf numFmtId="3" fontId="100" fillId="0" borderId="107" xfId="0" applyFont="1" applyBorder="1" applyAlignment="1">
      <alignment vertical="center" wrapText="1"/>
    </xf>
    <xf numFmtId="3" fontId="100" fillId="18" borderId="107" xfId="0" applyFont="1" applyFill="1" applyBorder="1" applyAlignment="1">
      <alignment horizontal="center" vertical="center" wrapText="1"/>
    </xf>
    <xf numFmtId="3" fontId="100" fillId="0" borderId="85" xfId="0" applyFont="1" applyBorder="1" applyAlignment="1">
      <alignment horizontal="left" vertical="center" wrapText="1"/>
    </xf>
    <xf numFmtId="3" fontId="100" fillId="18" borderId="74" xfId="0" applyFont="1" applyFill="1" applyBorder="1" applyAlignment="1">
      <alignment horizontal="left" vertical="center" wrapText="1"/>
    </xf>
    <xf numFmtId="3" fontId="105" fillId="0" borderId="74" xfId="0" applyFont="1" applyBorder="1" applyAlignment="1">
      <alignment horizontal="center" vertical="center" wrapText="1"/>
    </xf>
    <xf numFmtId="0" fontId="106" fillId="47" borderId="13" xfId="22" applyFont="1" applyFill="1" applyBorder="1"/>
    <xf numFmtId="3" fontId="100" fillId="18" borderId="61" xfId="0" applyFont="1" applyFill="1" applyBorder="1" applyAlignment="1">
      <alignment horizontal="center" vertical="center" wrapText="1"/>
    </xf>
    <xf numFmtId="3" fontId="100" fillId="18" borderId="50" xfId="0" applyFont="1" applyFill="1" applyBorder="1" applyAlignment="1">
      <alignment horizontal="center" vertical="center" wrapText="1"/>
    </xf>
    <xf numFmtId="3" fontId="100" fillId="18" borderId="76" xfId="0" applyFont="1" applyFill="1" applyBorder="1" applyAlignment="1">
      <alignment horizontal="center" vertical="center" wrapText="1"/>
    </xf>
    <xf numFmtId="3" fontId="100" fillId="0" borderId="50" xfId="0" applyFont="1" applyBorder="1" applyAlignment="1">
      <alignment horizontal="center" vertical="center" wrapText="1"/>
    </xf>
    <xf numFmtId="3" fontId="100" fillId="0" borderId="77" xfId="0" applyFont="1" applyBorder="1" applyAlignment="1">
      <alignment horizontal="left" vertical="center" wrapText="1"/>
    </xf>
    <xf numFmtId="3" fontId="100" fillId="18" borderId="63" xfId="0" applyFont="1" applyFill="1" applyBorder="1" applyAlignment="1">
      <alignment horizontal="center" vertical="center" wrapText="1"/>
    </xf>
    <xf numFmtId="3" fontId="100" fillId="0" borderId="63" xfId="0" applyFont="1" applyBorder="1" applyAlignment="1">
      <alignment horizontal="center" vertical="center" wrapText="1"/>
    </xf>
    <xf numFmtId="3" fontId="108" fillId="0" borderId="13" xfId="0" applyFont="1" applyBorder="1" applyAlignment="1">
      <alignment horizontal="left"/>
    </xf>
    <xf numFmtId="3" fontId="108" fillId="0" borderId="13" xfId="0" applyFont="1" applyBorder="1" applyAlignment="1">
      <alignment vertical="top" wrapText="1"/>
    </xf>
    <xf numFmtId="3" fontId="105" fillId="0" borderId="13" xfId="0" applyFont="1" applyBorder="1" applyAlignment="1">
      <alignment vertical="top" wrapText="1"/>
    </xf>
    <xf numFmtId="3" fontId="100" fillId="0" borderId="13" xfId="0" applyFont="1" applyBorder="1" applyAlignment="1">
      <alignment vertical="top" wrapText="1"/>
    </xf>
    <xf numFmtId="3" fontId="100" fillId="0" borderId="7" xfId="0" applyFont="1" applyBorder="1" applyAlignment="1">
      <alignment horizontal="left" vertical="center" wrapText="1"/>
    </xf>
    <xf numFmtId="1" fontId="100" fillId="0" borderId="85" xfId="0" applyNumberFormat="1" applyFont="1" applyBorder="1" applyAlignment="1">
      <alignment horizontal="center" vertical="center" wrapText="1"/>
    </xf>
    <xf numFmtId="1" fontId="100" fillId="0" borderId="7" xfId="0" applyNumberFormat="1" applyFont="1" applyBorder="1" applyAlignment="1">
      <alignment horizontal="center" vertical="center" wrapText="1"/>
    </xf>
    <xf numFmtId="3" fontId="108" fillId="0" borderId="13" xfId="0" applyFont="1" applyBorder="1" applyAlignment="1">
      <alignment horizontal="left" vertical="center" wrapText="1"/>
    </xf>
    <xf numFmtId="3" fontId="100" fillId="3" borderId="7" xfId="0" applyFont="1" applyFill="1" applyBorder="1" applyAlignment="1">
      <alignment horizontal="center" vertical="center" wrapText="1"/>
    </xf>
    <xf numFmtId="3" fontId="99" fillId="0" borderId="115" xfId="0" applyFont="1" applyBorder="1" applyAlignment="1">
      <alignment vertical="center" wrapText="1"/>
    </xf>
    <xf numFmtId="3" fontId="100" fillId="0" borderId="89" xfId="0" applyFont="1" applyBorder="1" applyAlignment="1">
      <alignment horizontal="left" vertical="center" wrapText="1"/>
    </xf>
    <xf numFmtId="3" fontId="105" fillId="0" borderId="107" xfId="0" applyFont="1" applyBorder="1" applyAlignment="1">
      <alignment horizontal="center" vertical="center" wrapText="1"/>
    </xf>
    <xf numFmtId="3" fontId="105" fillId="0" borderId="7" xfId="0" applyFont="1" applyBorder="1" applyAlignment="1">
      <alignment horizontal="center" vertical="center" wrapText="1"/>
    </xf>
    <xf numFmtId="3" fontId="100" fillId="0" borderId="116" xfId="0" applyFont="1" applyBorder="1" applyAlignment="1">
      <alignment horizontal="left" vertical="center" wrapText="1"/>
    </xf>
    <xf numFmtId="172" fontId="78" fillId="47" borderId="13" xfId="0" applyNumberFormat="1" applyFont="1" applyFill="1" applyBorder="1">
      <alignment wrapText="1"/>
    </xf>
    <xf numFmtId="3" fontId="100" fillId="36" borderId="107" xfId="0" applyFont="1" applyFill="1" applyBorder="1" applyAlignment="1">
      <alignment horizontal="center" vertical="center" wrapText="1"/>
    </xf>
    <xf numFmtId="3" fontId="100" fillId="0" borderId="74" xfId="0" applyFont="1" applyBorder="1" applyAlignment="1">
      <alignment horizontal="left" vertical="center" wrapText="1"/>
    </xf>
    <xf numFmtId="3" fontId="99" fillId="0" borderId="92" xfId="0" applyFont="1" applyBorder="1" applyAlignment="1">
      <alignment horizontal="left" vertical="center" wrapText="1"/>
    </xf>
    <xf numFmtId="3" fontId="108" fillId="0" borderId="13" xfId="0" applyFont="1" applyBorder="1">
      <alignment wrapText="1"/>
    </xf>
    <xf numFmtId="3" fontId="99" fillId="0" borderId="73" xfId="0" applyFont="1" applyBorder="1" applyAlignment="1">
      <alignment horizontal="left" vertical="center" wrapText="1"/>
    </xf>
    <xf numFmtId="3" fontId="100" fillId="36" borderId="7" xfId="0" applyFont="1" applyFill="1" applyBorder="1" applyAlignment="1">
      <alignment horizontal="center" vertical="center" wrapText="1"/>
    </xf>
    <xf numFmtId="3" fontId="100" fillId="0" borderId="120" xfId="0" applyFont="1" applyBorder="1" applyAlignment="1">
      <alignment horizontal="center" vertical="center" wrapText="1"/>
    </xf>
    <xf numFmtId="3" fontId="100" fillId="18" borderId="120" xfId="0" applyFont="1" applyFill="1" applyBorder="1" applyAlignment="1">
      <alignment horizontal="center" vertical="center" wrapText="1"/>
    </xf>
    <xf numFmtId="3" fontId="101" fillId="0" borderId="13" xfId="0" applyFont="1" applyBorder="1" applyAlignment="1">
      <alignment horizontal="left" vertical="center"/>
    </xf>
    <xf numFmtId="3" fontId="99" fillId="0" borderId="106" xfId="0" applyFont="1" applyBorder="1" applyAlignment="1">
      <alignment horizontal="left" vertical="center" wrapText="1"/>
    </xf>
    <xf numFmtId="3" fontId="100" fillId="37" borderId="107" xfId="0" applyFont="1" applyFill="1" applyBorder="1" applyAlignment="1">
      <alignment horizontal="center" vertical="center" wrapText="1"/>
    </xf>
    <xf numFmtId="0" fontId="99" fillId="0" borderId="78" xfId="41" applyFont="1" applyBorder="1" applyAlignment="1">
      <alignment vertical="center" wrapText="1"/>
    </xf>
    <xf numFmtId="173" fontId="100" fillId="0" borderId="74" xfId="0" applyNumberFormat="1" applyFont="1" applyBorder="1" applyAlignment="1">
      <alignment horizontal="center" vertical="center" wrapText="1"/>
    </xf>
    <xf numFmtId="173" fontId="100" fillId="0" borderId="74" xfId="41" applyNumberFormat="1" applyFont="1" applyBorder="1" applyAlignment="1">
      <alignment horizontal="center" vertical="center" wrapText="1"/>
    </xf>
    <xf numFmtId="173" fontId="100" fillId="18" borderId="74" xfId="41" applyNumberFormat="1" applyFont="1" applyFill="1" applyBorder="1" applyAlignment="1">
      <alignment horizontal="center" vertical="center" wrapText="1"/>
    </xf>
    <xf numFmtId="173" fontId="100" fillId="37" borderId="74" xfId="41" applyNumberFormat="1" applyFont="1" applyFill="1" applyBorder="1" applyAlignment="1">
      <alignment horizontal="center" vertical="center" wrapText="1"/>
    </xf>
    <xf numFmtId="0" fontId="100" fillId="0" borderId="74" xfId="41" applyFont="1" applyBorder="1" applyAlignment="1">
      <alignment horizontal="center" vertical="center" wrapText="1"/>
    </xf>
    <xf numFmtId="0" fontId="100" fillId="0" borderId="85" xfId="41" applyFont="1" applyBorder="1" applyAlignment="1">
      <alignment horizontal="center" vertical="center" wrapText="1"/>
    </xf>
    <xf numFmtId="0" fontId="100" fillId="16" borderId="85" xfId="41" applyFont="1" applyFill="1" applyBorder="1" applyAlignment="1">
      <alignment horizontal="center" vertical="center" wrapText="1"/>
    </xf>
    <xf numFmtId="173" fontId="100" fillId="0" borderId="85" xfId="41" applyNumberFormat="1" applyFont="1" applyBorder="1" applyAlignment="1">
      <alignment horizontal="center" vertical="center" wrapText="1"/>
    </xf>
    <xf numFmtId="4" fontId="100" fillId="0" borderId="85" xfId="41" applyNumberFormat="1" applyFont="1" applyBorder="1" applyAlignment="1">
      <alignment horizontal="center" vertical="center" wrapText="1"/>
    </xf>
    <xf numFmtId="4" fontId="100" fillId="16" borderId="85" xfId="41" applyNumberFormat="1" applyFont="1" applyFill="1" applyBorder="1" applyAlignment="1">
      <alignment horizontal="center" vertical="center" wrapText="1"/>
    </xf>
    <xf numFmtId="3" fontId="99" fillId="0" borderId="8" xfId="0" applyFont="1" applyBorder="1" applyAlignment="1">
      <alignment horizontal="left" vertical="center" wrapText="1"/>
    </xf>
    <xf numFmtId="0" fontId="100" fillId="0" borderId="7" xfId="41" applyFont="1" applyBorder="1" applyAlignment="1">
      <alignment horizontal="center" vertical="center" wrapText="1"/>
    </xf>
    <xf numFmtId="0" fontId="100" fillId="16" borderId="7" xfId="41" applyFont="1" applyFill="1" applyBorder="1" applyAlignment="1">
      <alignment horizontal="center" vertical="center" wrapText="1"/>
    </xf>
    <xf numFmtId="0" fontId="99" fillId="0" borderId="102" xfId="41" applyFont="1" applyBorder="1" applyAlignment="1">
      <alignment horizontal="left" vertical="center" wrapText="1"/>
    </xf>
    <xf numFmtId="0" fontId="100" fillId="0" borderId="103" xfId="41" applyFont="1" applyBorder="1" applyAlignment="1">
      <alignment horizontal="left" vertical="center" wrapText="1"/>
    </xf>
    <xf numFmtId="0" fontId="100" fillId="0" borderId="103" xfId="41" applyFont="1" applyBorder="1" applyAlignment="1">
      <alignment horizontal="center" vertical="center" wrapText="1"/>
    </xf>
    <xf numFmtId="0" fontId="100" fillId="18" borderId="103" xfId="41" applyFont="1" applyFill="1" applyBorder="1" applyAlignment="1">
      <alignment horizontal="center" vertical="center" wrapText="1"/>
    </xf>
    <xf numFmtId="0" fontId="100" fillId="36" borderId="103" xfId="41" applyFont="1" applyFill="1" applyBorder="1" applyAlignment="1">
      <alignment horizontal="center" vertical="center" wrapText="1"/>
    </xf>
    <xf numFmtId="0" fontId="99" fillId="0" borderId="73" xfId="41" applyFont="1" applyBorder="1" applyAlignment="1">
      <alignment horizontal="left" vertical="center" wrapText="1"/>
    </xf>
    <xf numFmtId="0" fontId="100" fillId="0" borderId="74" xfId="41" applyFont="1" applyBorder="1" applyAlignment="1">
      <alignment horizontal="left" vertical="center" wrapText="1"/>
    </xf>
    <xf numFmtId="3" fontId="100" fillId="0" borderId="74" xfId="41" applyNumberFormat="1" applyFont="1" applyBorder="1" applyAlignment="1">
      <alignment horizontal="center" vertical="center" wrapText="1"/>
    </xf>
    <xf numFmtId="3" fontId="100" fillId="18" borderId="74" xfId="41" applyNumberFormat="1" applyFont="1" applyFill="1" applyBorder="1" applyAlignment="1">
      <alignment horizontal="center" vertical="center" wrapText="1"/>
    </xf>
    <xf numFmtId="3" fontId="100" fillId="36" borderId="74" xfId="41" applyNumberFormat="1" applyFont="1" applyFill="1" applyBorder="1" applyAlignment="1">
      <alignment horizontal="center" vertical="center" wrapText="1"/>
    </xf>
    <xf numFmtId="3" fontId="78" fillId="0" borderId="15" xfId="0" applyFont="1" applyBorder="1">
      <alignment wrapText="1"/>
    </xf>
    <xf numFmtId="10" fontId="0" fillId="0" borderId="13" xfId="0" applyNumberFormat="1" applyBorder="1">
      <alignment wrapText="1"/>
    </xf>
    <xf numFmtId="190" fontId="93" fillId="48" borderId="0" xfId="23" applyNumberFormat="1" applyFont="1" applyFill="1"/>
    <xf numFmtId="3" fontId="11" fillId="48" borderId="13" xfId="22" applyNumberFormat="1" applyFill="1" applyBorder="1" applyAlignment="1">
      <alignment horizontal="center" vertical="center" wrapText="1"/>
    </xf>
    <xf numFmtId="3" fontId="11" fillId="0" borderId="0" xfId="22" applyNumberFormat="1" applyAlignment="1">
      <alignment wrapText="1"/>
    </xf>
    <xf numFmtId="3" fontId="77" fillId="0" borderId="13" xfId="0" applyFont="1" applyBorder="1" applyAlignment="1">
      <alignment horizontal="center" vertical="center" wrapText="1"/>
    </xf>
    <xf numFmtId="3" fontId="76" fillId="18" borderId="22" xfId="0" applyFont="1" applyFill="1" applyBorder="1" applyAlignment="1">
      <alignment horizontal="justify" vertical="top" wrapText="1"/>
    </xf>
    <xf numFmtId="3" fontId="74" fillId="0" borderId="23" xfId="0" applyFont="1" applyBorder="1" applyAlignment="1">
      <alignment horizontal="justify" vertical="top" wrapText="1"/>
    </xf>
    <xf numFmtId="3" fontId="74" fillId="0" borderId="25" xfId="0" applyFont="1" applyBorder="1" applyAlignment="1">
      <alignment horizontal="justify" vertical="top" wrapText="1"/>
    </xf>
    <xf numFmtId="3" fontId="0" fillId="0" borderId="0" xfId="0">
      <alignment wrapText="1"/>
    </xf>
    <xf numFmtId="3" fontId="8" fillId="0" borderId="13" xfId="0" applyFont="1" applyBorder="1" applyAlignment="1">
      <alignment horizontal="left" vertical="center"/>
    </xf>
    <xf numFmtId="3" fontId="8" fillId="3" borderId="0" xfId="0" applyFont="1" applyFill="1" applyAlignment="1">
      <alignment horizontal="center" vertical="center" wrapText="1"/>
    </xf>
    <xf numFmtId="3" fontId="8" fillId="0" borderId="13" xfId="0" applyFont="1" applyBorder="1" applyAlignment="1">
      <alignment horizontal="center" vertical="center"/>
    </xf>
    <xf numFmtId="3" fontId="19" fillId="0" borderId="0" xfId="0" applyFont="1" applyAlignment="1">
      <alignment horizontal="center" vertical="center" wrapText="1"/>
    </xf>
    <xf numFmtId="0" fontId="8" fillId="0" borderId="0" xfId="41" applyFont="1" applyAlignment="1">
      <alignment horizontal="left" vertical="top" wrapText="1"/>
    </xf>
    <xf numFmtId="3" fontId="0" fillId="18" borderId="55" xfId="0" applyFill="1" applyBorder="1" applyAlignment="1">
      <alignment horizontal="center" vertical="center" wrapText="1"/>
    </xf>
    <xf numFmtId="3" fontId="0" fillId="18" borderId="130" xfId="0" applyFill="1" applyBorder="1" applyAlignment="1">
      <alignment horizontal="center" vertical="center" wrapText="1"/>
    </xf>
    <xf numFmtId="3" fontId="0" fillId="18" borderId="150" xfId="0" applyFill="1" applyBorder="1" applyAlignment="1">
      <alignment horizontal="center" vertical="center" wrapText="1"/>
    </xf>
    <xf numFmtId="3" fontId="0" fillId="18" borderId="151" xfId="0" applyFill="1" applyBorder="1" applyAlignment="1">
      <alignment horizontal="center" vertical="center" wrapText="1"/>
    </xf>
    <xf numFmtId="172" fontId="0" fillId="18" borderId="152" xfId="59" applyNumberFormat="1" applyFont="1" applyFill="1" applyBorder="1" applyAlignment="1">
      <alignment horizontal="center" vertical="center" wrapText="1"/>
    </xf>
    <xf numFmtId="172" fontId="0" fillId="18" borderId="153" xfId="59" applyNumberFormat="1" applyFont="1" applyFill="1" applyBorder="1" applyAlignment="1">
      <alignment horizontal="center" vertical="center" wrapText="1"/>
    </xf>
    <xf numFmtId="172" fontId="0" fillId="18" borderId="147" xfId="59" applyNumberFormat="1" applyFont="1" applyFill="1" applyBorder="1" applyAlignment="1">
      <alignment horizontal="center" vertical="center" wrapText="1"/>
    </xf>
    <xf numFmtId="172" fontId="0" fillId="18" borderId="154" xfId="59" applyNumberFormat="1" applyFont="1" applyFill="1" applyBorder="1" applyAlignment="1">
      <alignment horizontal="center" vertical="center" wrapText="1"/>
    </xf>
    <xf numFmtId="171" fontId="0" fillId="18" borderId="148" xfId="59" applyFont="1" applyFill="1" applyBorder="1" applyAlignment="1">
      <alignment horizontal="center" vertical="center" wrapText="1"/>
    </xf>
    <xf numFmtId="171" fontId="0" fillId="18" borderId="149" xfId="59" applyFont="1" applyFill="1" applyBorder="1" applyAlignment="1">
      <alignment horizontal="center" vertical="center" wrapText="1"/>
    </xf>
    <xf numFmtId="0" fontId="14" fillId="0" borderId="13" xfId="41" applyFont="1" applyBorder="1"/>
    <xf numFmtId="0" fontId="14" fillId="0" borderId="13" xfId="41" applyFont="1" applyBorder="1" applyAlignment="1">
      <alignment horizontal="left" vertical="center" wrapText="1"/>
    </xf>
    <xf numFmtId="3" fontId="77" fillId="46" borderId="58" xfId="0" applyFont="1" applyFill="1" applyBorder="1" applyAlignment="1">
      <alignment horizontal="center" vertical="center" wrapText="1"/>
    </xf>
    <xf numFmtId="3" fontId="77" fillId="46" borderId="29" xfId="0" applyFont="1" applyFill="1" applyBorder="1" applyAlignment="1">
      <alignment horizontal="center" vertical="center" wrapText="1"/>
    </xf>
    <xf numFmtId="3" fontId="77" fillId="46" borderId="57" xfId="0" applyFont="1" applyFill="1" applyBorder="1" applyAlignment="1">
      <alignment horizontal="center" vertical="center" wrapText="1"/>
    </xf>
    <xf numFmtId="3" fontId="77" fillId="46" borderId="30" xfId="0" applyFont="1" applyFill="1" applyBorder="1" applyAlignment="1">
      <alignment horizontal="center" vertical="center" wrapText="1"/>
    </xf>
    <xf numFmtId="3" fontId="77" fillId="46" borderId="59" xfId="0" applyFont="1" applyFill="1" applyBorder="1" applyAlignment="1">
      <alignment horizontal="center" vertical="center" wrapText="1"/>
    </xf>
    <xf numFmtId="3" fontId="77" fillId="46" borderId="31" xfId="0" applyFont="1" applyFill="1" applyBorder="1" applyAlignment="1">
      <alignment horizontal="center" vertical="center" wrapText="1"/>
    </xf>
    <xf numFmtId="3" fontId="77" fillId="46" borderId="69" xfId="0" applyFont="1" applyFill="1" applyBorder="1" applyAlignment="1">
      <alignment horizontal="center" vertical="center" wrapText="1"/>
    </xf>
    <xf numFmtId="3" fontId="77" fillId="46" borderId="96" xfId="0" applyFont="1" applyFill="1" applyBorder="1" applyAlignment="1">
      <alignment horizontal="center" vertical="center" wrapText="1"/>
    </xf>
    <xf numFmtId="3" fontId="77" fillId="46" borderId="65" xfId="0" applyFont="1" applyFill="1" applyBorder="1" applyAlignment="1">
      <alignment horizontal="center" vertical="center" wrapText="1"/>
    </xf>
    <xf numFmtId="3" fontId="77" fillId="46" borderId="60" xfId="0" applyFont="1" applyFill="1" applyBorder="1" applyAlignment="1">
      <alignment horizontal="center" vertical="center" wrapText="1"/>
    </xf>
    <xf numFmtId="3" fontId="77" fillId="46" borderId="32" xfId="0" applyFont="1" applyFill="1" applyBorder="1" applyAlignment="1">
      <alignment horizontal="center" vertical="center" wrapText="1"/>
    </xf>
    <xf numFmtId="3" fontId="77" fillId="46" borderId="51" xfId="0" applyFont="1" applyFill="1" applyBorder="1" applyAlignment="1">
      <alignment horizontal="center" vertical="center" wrapText="1"/>
    </xf>
    <xf numFmtId="3" fontId="77" fillId="46" borderId="56" xfId="0" applyFont="1" applyFill="1" applyBorder="1" applyAlignment="1">
      <alignment horizontal="center" vertical="center" wrapText="1"/>
    </xf>
    <xf numFmtId="3" fontId="77" fillId="46" borderId="50" xfId="0" applyFont="1" applyFill="1" applyBorder="1" applyAlignment="1">
      <alignment horizontal="center" vertical="center" wrapText="1"/>
    </xf>
    <xf numFmtId="3" fontId="77" fillId="46" borderId="52" xfId="0" applyFont="1" applyFill="1" applyBorder="1" applyAlignment="1">
      <alignment horizontal="center" vertical="center" wrapText="1"/>
    </xf>
    <xf numFmtId="3" fontId="0" fillId="0" borderId="0" xfId="0" applyAlignment="1">
      <alignment horizontal="center" wrapText="1"/>
    </xf>
    <xf numFmtId="3" fontId="8" fillId="38" borderId="13" xfId="0" applyFont="1" applyFill="1" applyBorder="1" applyAlignment="1">
      <alignment horizontal="center" vertical="center"/>
    </xf>
    <xf numFmtId="3" fontId="8" fillId="18" borderId="13" xfId="0" applyFont="1" applyFill="1" applyBorder="1" applyAlignment="1">
      <alignment horizontal="center" vertical="center"/>
    </xf>
    <xf numFmtId="3" fontId="99" fillId="46" borderId="155" xfId="0" applyFont="1" applyFill="1" applyBorder="1" applyAlignment="1">
      <alignment horizontal="left" vertical="center" wrapText="1"/>
    </xf>
    <xf numFmtId="3" fontId="99" fillId="46" borderId="118" xfId="0" applyFont="1" applyFill="1" applyBorder="1" applyAlignment="1">
      <alignment horizontal="left" vertical="center" wrapText="1"/>
    </xf>
    <xf numFmtId="3" fontId="99" fillId="46" borderId="156" xfId="0" applyFont="1" applyFill="1" applyBorder="1" applyAlignment="1">
      <alignment horizontal="left" vertical="center" wrapText="1"/>
    </xf>
    <xf numFmtId="3" fontId="99" fillId="47" borderId="112" xfId="0" applyFont="1" applyFill="1" applyBorder="1" applyAlignment="1">
      <alignment horizontal="left" vertical="center" wrapText="1"/>
    </xf>
    <xf numFmtId="3" fontId="99" fillId="47" borderId="97" xfId="0" applyFont="1" applyFill="1" applyBorder="1" applyAlignment="1">
      <alignment horizontal="left" vertical="center" wrapText="1"/>
    </xf>
    <xf numFmtId="3" fontId="99" fillId="47" borderId="113" xfId="0" applyFont="1" applyFill="1" applyBorder="1" applyAlignment="1">
      <alignment horizontal="left" vertical="center" wrapText="1"/>
    </xf>
    <xf numFmtId="3" fontId="100" fillId="0" borderId="61" xfId="0" applyFont="1" applyBorder="1" applyAlignment="1">
      <alignment horizontal="center" vertical="center" wrapText="1"/>
    </xf>
    <xf numFmtId="3" fontId="100" fillId="0" borderId="71" xfId="0" applyFont="1" applyBorder="1" applyAlignment="1">
      <alignment horizontal="center" vertical="center" wrapText="1"/>
    </xf>
    <xf numFmtId="3" fontId="100" fillId="0" borderId="87" xfId="0" applyFont="1" applyBorder="1" applyAlignment="1">
      <alignment horizontal="center" vertical="center" wrapText="1"/>
    </xf>
    <xf numFmtId="3" fontId="100" fillId="0" borderId="104" xfId="0" applyFont="1" applyBorder="1" applyAlignment="1">
      <alignment horizontal="left" vertical="center" wrapText="1"/>
    </xf>
    <xf numFmtId="3" fontId="100" fillId="0" borderId="10" xfId="0" applyFont="1" applyBorder="1" applyAlignment="1">
      <alignment horizontal="left" vertical="center" wrapText="1"/>
    </xf>
    <xf numFmtId="3" fontId="100" fillId="0" borderId="111" xfId="0" applyFont="1" applyBorder="1" applyAlignment="1">
      <alignment horizontal="left" vertical="center" wrapText="1"/>
    </xf>
    <xf numFmtId="0" fontId="100" fillId="0" borderId="104" xfId="41" applyFont="1" applyBorder="1" applyAlignment="1">
      <alignment horizontal="left" vertical="center" wrapText="1"/>
    </xf>
    <xf numFmtId="0" fontId="100" fillId="0" borderId="111" xfId="41" applyFont="1" applyBorder="1" applyAlignment="1">
      <alignment horizontal="left" vertical="center" wrapText="1"/>
    </xf>
    <xf numFmtId="3" fontId="99" fillId="47" borderId="101" xfId="0" applyFont="1" applyFill="1" applyBorder="1" applyAlignment="1">
      <alignment horizontal="left" vertical="center" wrapText="1"/>
    </xf>
    <xf numFmtId="3" fontId="99" fillId="47" borderId="100" xfId="0" applyFont="1" applyFill="1" applyBorder="1" applyAlignment="1">
      <alignment horizontal="left" vertical="center" wrapText="1"/>
    </xf>
    <xf numFmtId="0" fontId="99" fillId="47" borderId="108" xfId="41" applyFont="1" applyFill="1" applyBorder="1" applyAlignment="1">
      <alignment horizontal="left" vertical="center" wrapText="1"/>
    </xf>
    <xf numFmtId="3" fontId="99" fillId="47" borderId="114" xfId="0" applyFont="1" applyFill="1" applyBorder="1" applyAlignment="1">
      <alignment horizontal="left" vertical="center" wrapText="1"/>
    </xf>
    <xf numFmtId="3" fontId="100" fillId="0" borderId="12" xfId="0" applyFont="1" applyBorder="1" applyAlignment="1">
      <alignment vertical="center" wrapText="1"/>
    </xf>
    <xf numFmtId="3" fontId="100" fillId="0" borderId="72" xfId="0" applyFont="1" applyBorder="1" applyAlignment="1">
      <alignment horizontal="left" vertical="center" wrapText="1"/>
    </xf>
    <xf numFmtId="3" fontId="100" fillId="18" borderId="104" xfId="0" applyFont="1" applyFill="1" applyBorder="1" applyAlignment="1">
      <alignment horizontal="left" vertical="center" wrapText="1"/>
    </xf>
    <xf numFmtId="3" fontId="100" fillId="18" borderId="111" xfId="0" applyFont="1" applyFill="1" applyBorder="1" applyAlignment="1">
      <alignment horizontal="left" vertical="center" wrapText="1"/>
    </xf>
    <xf numFmtId="3" fontId="100" fillId="0" borderId="117" xfId="0" applyFont="1" applyBorder="1" applyAlignment="1">
      <alignment horizontal="center" vertical="center" wrapText="1"/>
    </xf>
    <xf numFmtId="3" fontId="100" fillId="0" borderId="118" xfId="0" applyFont="1" applyBorder="1" applyAlignment="1">
      <alignment horizontal="center" vertical="center" wrapText="1"/>
    </xf>
    <xf numFmtId="3" fontId="100" fillId="0" borderId="119" xfId="0" applyFont="1" applyBorder="1" applyAlignment="1">
      <alignment horizontal="center" vertical="center" wrapText="1"/>
    </xf>
    <xf numFmtId="3" fontId="105" fillId="0" borderId="13" xfId="0" applyFont="1" applyBorder="1" applyAlignment="1">
      <alignment horizontal="left" vertical="top" wrapText="1"/>
    </xf>
    <xf numFmtId="0" fontId="100" fillId="0" borderId="100" xfId="41" applyFont="1" applyBorder="1" applyAlignment="1">
      <alignment horizontal="left" vertical="center" wrapText="1"/>
    </xf>
    <xf numFmtId="3" fontId="100" fillId="0" borderId="100" xfId="0" applyFont="1" applyBorder="1" applyAlignment="1">
      <alignment horizontal="left" vertical="center" wrapText="1"/>
    </xf>
    <xf numFmtId="3" fontId="100" fillId="0" borderId="35" xfId="0" applyFont="1" applyBorder="1" applyAlignment="1">
      <alignment horizontal="left" vertical="center" wrapText="1"/>
    </xf>
    <xf numFmtId="3" fontId="104" fillId="18" borderId="112" xfId="0" applyFont="1" applyFill="1" applyBorder="1" applyAlignment="1">
      <alignment horizontal="left" vertical="center" wrapText="1"/>
    </xf>
    <xf numFmtId="3" fontId="104" fillId="18" borderId="97" xfId="0" applyFont="1" applyFill="1" applyBorder="1" applyAlignment="1">
      <alignment horizontal="left" vertical="center" wrapText="1"/>
    </xf>
    <xf numFmtId="3" fontId="104" fillId="18" borderId="113" xfId="0" applyFont="1" applyFill="1" applyBorder="1" applyAlignment="1">
      <alignment horizontal="left" vertical="center" wrapText="1"/>
    </xf>
    <xf numFmtId="3" fontId="109" fillId="18" borderId="112" xfId="0" applyFont="1" applyFill="1" applyBorder="1" applyAlignment="1">
      <alignment horizontal="left" vertical="center" wrapText="1"/>
    </xf>
    <xf numFmtId="3" fontId="109" fillId="18" borderId="97" xfId="0" applyFont="1" applyFill="1" applyBorder="1" applyAlignment="1">
      <alignment horizontal="left" vertical="center" wrapText="1"/>
    </xf>
    <xf numFmtId="3" fontId="109" fillId="18" borderId="113" xfId="0" applyFont="1" applyFill="1" applyBorder="1" applyAlignment="1">
      <alignment horizontal="left" vertical="center" wrapText="1"/>
    </xf>
    <xf numFmtId="0" fontId="14" fillId="11" borderId="125" xfId="41" applyFont="1" applyFill="1" applyBorder="1" applyAlignment="1">
      <alignment horizontal="left" vertical="center" wrapText="1"/>
    </xf>
    <xf numFmtId="0" fontId="14" fillId="11" borderId="121" xfId="41" applyFont="1" applyFill="1" applyBorder="1" applyAlignment="1">
      <alignment horizontal="center" vertical="center" wrapText="1"/>
    </xf>
    <xf numFmtId="0" fontId="14" fillId="11" borderId="110" xfId="41" applyFont="1" applyFill="1" applyBorder="1" applyAlignment="1">
      <alignment horizontal="center" vertical="center" wrapText="1"/>
    </xf>
    <xf numFmtId="0" fontId="14" fillId="0" borderId="100" xfId="41" applyFont="1" applyBorder="1" applyAlignment="1">
      <alignment horizontal="left" vertical="center" wrapText="1"/>
    </xf>
    <xf numFmtId="0" fontId="14" fillId="0" borderId="101" xfId="41" applyFont="1" applyBorder="1" applyAlignment="1">
      <alignment horizontal="left" vertical="center" wrapText="1"/>
    </xf>
    <xf numFmtId="0" fontId="14" fillId="11" borderId="101" xfId="41" applyFont="1" applyFill="1" applyBorder="1" applyAlignment="1">
      <alignment horizontal="left" vertical="center" wrapText="1"/>
    </xf>
    <xf numFmtId="0" fontId="42" fillId="0" borderId="100" xfId="41" applyFont="1" applyBorder="1" applyAlignment="1">
      <alignment horizontal="left" vertical="center" wrapText="1"/>
    </xf>
    <xf numFmtId="0" fontId="14" fillId="11" borderId="108" xfId="41" applyFont="1" applyFill="1" applyBorder="1" applyAlignment="1">
      <alignment horizontal="left" vertical="center" wrapText="1"/>
    </xf>
    <xf numFmtId="0" fontId="1" fillId="0" borderId="100" xfId="41" applyFont="1" applyBorder="1" applyAlignment="1">
      <alignment horizontal="left" vertical="center" wrapText="1"/>
    </xf>
    <xf numFmtId="0" fontId="14" fillId="11" borderId="113" xfId="41" applyFont="1" applyFill="1" applyBorder="1" applyAlignment="1">
      <alignment horizontal="center" vertical="center" wrapText="1"/>
    </xf>
    <xf numFmtId="0" fontId="1" fillId="0" borderId="27" xfId="41" applyFont="1" applyBorder="1" applyAlignment="1">
      <alignment horizontal="left" vertical="top" wrapText="1"/>
    </xf>
    <xf numFmtId="0" fontId="1" fillId="0" borderId="19" xfId="41" applyFont="1" applyBorder="1" applyAlignment="1">
      <alignment horizontal="left" vertical="top" wrapText="1"/>
    </xf>
    <xf numFmtId="0" fontId="1" fillId="0" borderId="20" xfId="41" applyFont="1" applyBorder="1" applyAlignment="1">
      <alignment horizontal="left" vertical="top" wrapText="1"/>
    </xf>
    <xf numFmtId="0" fontId="1" fillId="0" borderId="28" xfId="41" applyFont="1" applyBorder="1" applyAlignment="1">
      <alignment horizontal="left" vertical="top" wrapText="1"/>
    </xf>
    <xf numFmtId="0" fontId="1" fillId="0" borderId="23" xfId="41" applyFont="1" applyBorder="1" applyAlignment="1">
      <alignment horizontal="left" vertical="top" wrapText="1"/>
    </xf>
    <xf numFmtId="0" fontId="1" fillId="0" borderId="25" xfId="41" applyFont="1" applyBorder="1" applyAlignment="1">
      <alignment horizontal="left" vertical="top" wrapText="1"/>
    </xf>
    <xf numFmtId="0" fontId="23" fillId="11" borderId="114" xfId="41" applyFont="1" applyFill="1" applyBorder="1" applyAlignment="1">
      <alignment horizontal="center" vertical="center" wrapText="1"/>
    </xf>
    <xf numFmtId="0" fontId="23" fillId="11" borderId="101" xfId="41" applyFont="1" applyFill="1" applyBorder="1" applyAlignment="1">
      <alignment horizontal="center" vertical="center" wrapText="1"/>
    </xf>
    <xf numFmtId="0" fontId="1" fillId="0" borderId="103" xfId="41" applyFont="1" applyBorder="1" applyAlignment="1">
      <alignment horizontal="center" vertical="center" wrapText="1"/>
    </xf>
    <xf numFmtId="0" fontId="1" fillId="0" borderId="9" xfId="41" applyFont="1" applyBorder="1" applyAlignment="1">
      <alignment horizontal="center" vertical="center" wrapText="1"/>
    </xf>
    <xf numFmtId="0" fontId="1" fillId="0" borderId="120" xfId="41" applyFont="1" applyBorder="1" applyAlignment="1">
      <alignment horizontal="center" vertical="center" wrapText="1"/>
    </xf>
    <xf numFmtId="0" fontId="42" fillId="0" borderId="101" xfId="41" applyFont="1" applyBorder="1" applyAlignment="1">
      <alignment horizontal="left" vertical="center" wrapText="1"/>
    </xf>
    <xf numFmtId="0" fontId="37" fillId="0" borderId="27" xfId="41" applyFont="1" applyBorder="1" applyAlignment="1">
      <alignment horizontal="center" vertical="center" wrapText="1"/>
    </xf>
    <xf numFmtId="0" fontId="37" fillId="0" borderId="20" xfId="41" applyFont="1" applyBorder="1" applyAlignment="1">
      <alignment horizontal="center" vertical="center" wrapText="1"/>
    </xf>
    <xf numFmtId="0" fontId="37" fillId="0" borderId="93" xfId="41" applyFont="1" applyBorder="1" applyAlignment="1">
      <alignment horizontal="center" vertical="center" wrapText="1"/>
    </xf>
    <xf numFmtId="0" fontId="37" fillId="0" borderId="21" xfId="41" applyFont="1" applyBorder="1" applyAlignment="1">
      <alignment horizontal="center" vertical="center" wrapText="1"/>
    </xf>
    <xf numFmtId="0" fontId="37" fillId="0" borderId="28" xfId="41" applyFont="1" applyBorder="1" applyAlignment="1">
      <alignment horizontal="center" vertical="center" wrapText="1"/>
    </xf>
    <xf numFmtId="0" fontId="37" fillId="0" borderId="25" xfId="41" applyFont="1" applyBorder="1" applyAlignment="1">
      <alignment horizontal="center" vertical="center" wrapText="1"/>
    </xf>
    <xf numFmtId="0" fontId="41" fillId="0" borderId="125" xfId="41" applyFont="1" applyBorder="1" applyAlignment="1">
      <alignment horizontal="left" vertical="top" wrapText="1"/>
    </xf>
    <xf numFmtId="0" fontId="41" fillId="0" borderId="126" xfId="41" applyFont="1" applyBorder="1" applyAlignment="1">
      <alignment horizontal="left" vertical="top" wrapText="1"/>
    </xf>
    <xf numFmtId="0" fontId="41" fillId="0" borderId="121" xfId="41" applyFont="1" applyBorder="1" applyAlignment="1">
      <alignment horizontal="left" vertical="top" wrapText="1"/>
    </xf>
    <xf numFmtId="0" fontId="41" fillId="18" borderId="125" xfId="41" applyFont="1" applyFill="1" applyBorder="1" applyAlignment="1">
      <alignment horizontal="left" vertical="top" wrapText="1"/>
    </xf>
    <xf numFmtId="0" fontId="41" fillId="18" borderId="126" xfId="41" applyFont="1" applyFill="1" applyBorder="1" applyAlignment="1">
      <alignment horizontal="left" vertical="top" wrapText="1"/>
    </xf>
    <xf numFmtId="0" fontId="41" fillId="18" borderId="121" xfId="41" applyFont="1" applyFill="1" applyBorder="1" applyAlignment="1">
      <alignment horizontal="left" vertical="top" wrapText="1"/>
    </xf>
    <xf numFmtId="172" fontId="1" fillId="0" borderId="80" xfId="41" applyNumberFormat="1" applyFont="1" applyBorder="1" applyAlignment="1">
      <alignment horizontal="center" vertical="center" wrapText="1"/>
    </xf>
    <xf numFmtId="172" fontId="1" fillId="0" borderId="82" xfId="41" applyNumberFormat="1" applyFont="1" applyBorder="1" applyAlignment="1">
      <alignment horizontal="center" vertical="center" wrapText="1"/>
    </xf>
    <xf numFmtId="172" fontId="1" fillId="0" borderId="83" xfId="41" applyNumberFormat="1" applyFont="1" applyBorder="1" applyAlignment="1">
      <alignment horizontal="center" vertical="center" wrapText="1"/>
    </xf>
    <xf numFmtId="0" fontId="42" fillId="0" borderId="108" xfId="41" applyFont="1" applyBorder="1" applyAlignment="1">
      <alignment horizontal="left" vertical="center" wrapText="1"/>
    </xf>
    <xf numFmtId="0" fontId="42" fillId="0" borderId="109" xfId="41" applyFont="1" applyBorder="1" applyAlignment="1">
      <alignment horizontal="left" vertical="center" wrapText="1"/>
    </xf>
    <xf numFmtId="0" fontId="42" fillId="0" borderId="110" xfId="41" applyFont="1" applyBorder="1" applyAlignment="1">
      <alignment horizontal="left" vertical="center" wrapText="1"/>
    </xf>
    <xf numFmtId="0" fontId="14" fillId="11" borderId="112" xfId="41" applyFont="1" applyFill="1" applyBorder="1" applyAlignment="1">
      <alignment horizontal="left" vertical="center" wrapText="1"/>
    </xf>
    <xf numFmtId="0" fontId="1" fillId="0" borderId="17" xfId="41" applyFont="1" applyBorder="1" applyAlignment="1">
      <alignment horizontal="left" vertical="top" wrapText="1"/>
    </xf>
    <xf numFmtId="0" fontId="1" fillId="0" borderId="13" xfId="41" applyFont="1" applyBorder="1" applyAlignment="1">
      <alignment horizontal="left" vertical="top" wrapText="1"/>
    </xf>
    <xf numFmtId="0" fontId="62" fillId="0" borderId="81" xfId="41" applyFont="1" applyBorder="1" applyAlignment="1">
      <alignment horizontal="left" vertical="center" wrapText="1"/>
    </xf>
    <xf numFmtId="0" fontId="26" fillId="11" borderId="121" xfId="41" applyFont="1" applyFill="1" applyBorder="1" applyAlignment="1">
      <alignment horizontal="center" vertical="center" wrapText="1"/>
    </xf>
    <xf numFmtId="0" fontId="14" fillId="11" borderId="100" xfId="41" applyFont="1" applyFill="1" applyBorder="1" applyAlignment="1">
      <alignment horizontal="left" vertical="center" wrapText="1"/>
    </xf>
    <xf numFmtId="0" fontId="14" fillId="11" borderId="93" xfId="41" applyFont="1" applyFill="1" applyBorder="1" applyAlignment="1">
      <alignment horizontal="left" vertical="center" wrapText="1"/>
    </xf>
    <xf numFmtId="0" fontId="41" fillId="0" borderId="81" xfId="41" applyFont="1" applyBorder="1" applyAlignment="1">
      <alignment horizontal="left" vertical="top" wrapText="1"/>
    </xf>
    <xf numFmtId="0" fontId="41" fillId="18" borderId="100" xfId="41" applyFont="1" applyFill="1" applyBorder="1" applyAlignment="1">
      <alignment horizontal="left" vertical="top" wrapText="1"/>
    </xf>
    <xf numFmtId="0" fontId="41" fillId="18" borderId="101" xfId="41" applyFont="1" applyFill="1" applyBorder="1" applyAlignment="1">
      <alignment horizontal="left" vertical="top" wrapText="1"/>
    </xf>
    <xf numFmtId="0" fontId="27" fillId="0" borderId="26" xfId="41" applyFont="1" applyBorder="1" applyAlignment="1">
      <alignment horizontal="left" vertical="top" wrapText="1"/>
    </xf>
    <xf numFmtId="0" fontId="27" fillId="0" borderId="24" xfId="41" applyFont="1" applyBorder="1" applyAlignment="1">
      <alignment horizontal="left" vertical="top" wrapText="1"/>
    </xf>
    <xf numFmtId="0" fontId="27" fillId="0" borderId="17" xfId="41" applyFont="1" applyBorder="1" applyAlignment="1">
      <alignment horizontal="left" vertical="top" wrapText="1"/>
    </xf>
    <xf numFmtId="0" fontId="14" fillId="14" borderId="100" xfId="41" applyFont="1" applyFill="1" applyBorder="1" applyAlignment="1">
      <alignment horizontal="left" vertical="center" wrapText="1"/>
    </xf>
    <xf numFmtId="0" fontId="14" fillId="14" borderId="101" xfId="41" applyFont="1" applyFill="1" applyBorder="1" applyAlignment="1">
      <alignment horizontal="left" vertical="center" wrapText="1"/>
    </xf>
    <xf numFmtId="0" fontId="14" fillId="0" borderId="105" xfId="41" applyFont="1" applyBorder="1" applyAlignment="1">
      <alignment horizontal="left" vertical="center" wrapText="1"/>
    </xf>
    <xf numFmtId="0" fontId="63" fillId="0" borderId="125" xfId="41" applyFont="1" applyBorder="1" applyAlignment="1">
      <alignment horizontal="left" vertical="center" wrapText="1"/>
    </xf>
    <xf numFmtId="0" fontId="63" fillId="0" borderId="126" xfId="41" applyFont="1" applyBorder="1" applyAlignment="1">
      <alignment horizontal="left" vertical="center" wrapText="1"/>
    </xf>
    <xf numFmtId="0" fontId="63" fillId="0" borderId="121" xfId="41" applyFont="1" applyBorder="1" applyAlignment="1">
      <alignment horizontal="left" vertical="center" wrapText="1"/>
    </xf>
    <xf numFmtId="0" fontId="23" fillId="11" borderId="100" xfId="41" applyFont="1" applyFill="1" applyBorder="1" applyAlignment="1">
      <alignment vertical="center" wrapText="1"/>
    </xf>
    <xf numFmtId="0" fontId="23" fillId="11" borderId="100" xfId="41" applyFont="1" applyFill="1" applyBorder="1" applyAlignment="1">
      <alignment horizontal="center" vertical="center" wrapText="1"/>
    </xf>
    <xf numFmtId="0" fontId="24" fillId="11" borderId="100" xfId="41" applyFont="1" applyFill="1" applyBorder="1" applyAlignment="1">
      <alignment horizontal="center" vertical="center" wrapText="1"/>
    </xf>
    <xf numFmtId="0" fontId="24" fillId="11" borderId="114" xfId="41" applyFont="1" applyFill="1" applyBorder="1" applyAlignment="1">
      <alignment horizontal="center" vertical="center" wrapText="1"/>
    </xf>
  </cellXfs>
  <cellStyles count="196">
    <cellStyle name="20% - Énfasis1 2" xfId="73" xr:uid="{00000000-0005-0000-0000-000000000000}"/>
    <cellStyle name="20% - Énfasis2 2" xfId="74" xr:uid="{00000000-0005-0000-0000-000001000000}"/>
    <cellStyle name="20% - Énfasis3 2" xfId="75" xr:uid="{00000000-0005-0000-0000-000002000000}"/>
    <cellStyle name="20% - Énfasis4 2" xfId="76" xr:uid="{00000000-0005-0000-0000-000003000000}"/>
    <cellStyle name="20% - Énfasis5 2" xfId="77" xr:uid="{00000000-0005-0000-0000-000004000000}"/>
    <cellStyle name="20% - Énfasis6 2" xfId="78" xr:uid="{00000000-0005-0000-0000-000005000000}"/>
    <cellStyle name="4 Peine horizontal (2º nivel)" xfId="1" xr:uid="{00000000-0005-0000-0000-000006000000}"/>
    <cellStyle name="40% - Énfasis1 2" xfId="79" xr:uid="{00000000-0005-0000-0000-000007000000}"/>
    <cellStyle name="40% - Énfasis2 2" xfId="80" xr:uid="{00000000-0005-0000-0000-000008000000}"/>
    <cellStyle name="40% - Énfasis3 2" xfId="81" xr:uid="{00000000-0005-0000-0000-000009000000}"/>
    <cellStyle name="40% - Énfasis4 2" xfId="82" xr:uid="{00000000-0005-0000-0000-00000A000000}"/>
    <cellStyle name="40% - Énfasis5 2" xfId="83" xr:uid="{00000000-0005-0000-0000-00000B000000}"/>
    <cellStyle name="40% - Énfasis6 2" xfId="84" xr:uid="{00000000-0005-0000-0000-00000C000000}"/>
    <cellStyle name="60% - Énfasis1 2" xfId="85" xr:uid="{00000000-0005-0000-0000-00000D000000}"/>
    <cellStyle name="60% - Énfasis2 2" xfId="86" xr:uid="{00000000-0005-0000-0000-00000E000000}"/>
    <cellStyle name="60% - Énfasis3 2" xfId="87" xr:uid="{00000000-0005-0000-0000-00000F000000}"/>
    <cellStyle name="60% - Énfasis4 2" xfId="88" xr:uid="{00000000-0005-0000-0000-000010000000}"/>
    <cellStyle name="60% - Énfasis5 2" xfId="89" xr:uid="{00000000-0005-0000-0000-000011000000}"/>
    <cellStyle name="60% - Énfasis6 2" xfId="90" xr:uid="{00000000-0005-0000-0000-000012000000}"/>
    <cellStyle name="Buena" xfId="91" xr:uid="{00000000-0005-0000-0000-000013000000}"/>
    <cellStyle name="Cálculo 2" xfId="92" xr:uid="{00000000-0005-0000-0000-000014000000}"/>
    <cellStyle name="Celda de comprobación 2" xfId="93" xr:uid="{00000000-0005-0000-0000-000015000000}"/>
    <cellStyle name="Celda vinculada 2" xfId="94" xr:uid="{00000000-0005-0000-0000-000016000000}"/>
    <cellStyle name="Encabezado 4 2" xfId="95" xr:uid="{00000000-0005-0000-0000-000017000000}"/>
    <cellStyle name="Énfasis1 2" xfId="96" xr:uid="{00000000-0005-0000-0000-000018000000}"/>
    <cellStyle name="Énfasis2 2" xfId="97" xr:uid="{00000000-0005-0000-0000-000019000000}"/>
    <cellStyle name="Énfasis3 2" xfId="98" xr:uid="{00000000-0005-0000-0000-00001A000000}"/>
    <cellStyle name="Énfasis4 2" xfId="99" xr:uid="{00000000-0005-0000-0000-00001B000000}"/>
    <cellStyle name="Énfasis5 2" xfId="100" xr:uid="{00000000-0005-0000-0000-00001C000000}"/>
    <cellStyle name="Énfasis6 2" xfId="101" xr:uid="{00000000-0005-0000-0000-00001D000000}"/>
    <cellStyle name="Entrada 2" xfId="102" xr:uid="{00000000-0005-0000-0000-00001E000000}"/>
    <cellStyle name="Estilo 1" xfId="2" xr:uid="{00000000-0005-0000-0000-00001F000000}"/>
    <cellStyle name="Estilo 2" xfId="194" xr:uid="{1354513C-E80F-4A88-A0BF-9D45DC5D0139}"/>
    <cellStyle name="Euro" xfId="3" xr:uid="{00000000-0005-0000-0000-000020000000}"/>
    <cellStyle name="Euro 10" xfId="4" xr:uid="{00000000-0005-0000-0000-000021000000}"/>
    <cellStyle name="Euro 10 2" xfId="105" xr:uid="{00000000-0005-0000-0000-000022000000}"/>
    <cellStyle name="Euro 10 3" xfId="104" xr:uid="{00000000-0005-0000-0000-000023000000}"/>
    <cellStyle name="Euro 11" xfId="5" xr:uid="{00000000-0005-0000-0000-000024000000}"/>
    <cellStyle name="Euro 11 2" xfId="107" xr:uid="{00000000-0005-0000-0000-000025000000}"/>
    <cellStyle name="Euro 11 3" xfId="106" xr:uid="{00000000-0005-0000-0000-000026000000}"/>
    <cellStyle name="Euro 12" xfId="6" xr:uid="{00000000-0005-0000-0000-000027000000}"/>
    <cellStyle name="Euro 12 2" xfId="109" xr:uid="{00000000-0005-0000-0000-000028000000}"/>
    <cellStyle name="Euro 12 3" xfId="108" xr:uid="{00000000-0005-0000-0000-000029000000}"/>
    <cellStyle name="Euro 13" xfId="7" xr:uid="{00000000-0005-0000-0000-00002A000000}"/>
    <cellStyle name="Euro 13 2" xfId="111" xr:uid="{00000000-0005-0000-0000-00002B000000}"/>
    <cellStyle name="Euro 13 3" xfId="110" xr:uid="{00000000-0005-0000-0000-00002C000000}"/>
    <cellStyle name="Euro 14" xfId="8" xr:uid="{00000000-0005-0000-0000-00002D000000}"/>
    <cellStyle name="Euro 14 2" xfId="113" xr:uid="{00000000-0005-0000-0000-00002E000000}"/>
    <cellStyle name="Euro 14 3" xfId="112" xr:uid="{00000000-0005-0000-0000-00002F000000}"/>
    <cellStyle name="Euro 15" xfId="9" xr:uid="{00000000-0005-0000-0000-000030000000}"/>
    <cellStyle name="Euro 15 2" xfId="115" xr:uid="{00000000-0005-0000-0000-000031000000}"/>
    <cellStyle name="Euro 15 3" xfId="114" xr:uid="{00000000-0005-0000-0000-000032000000}"/>
    <cellStyle name="Euro 16" xfId="10" xr:uid="{00000000-0005-0000-0000-000033000000}"/>
    <cellStyle name="Euro 16 2" xfId="117" xr:uid="{00000000-0005-0000-0000-000034000000}"/>
    <cellStyle name="Euro 16 3" xfId="116" xr:uid="{00000000-0005-0000-0000-000035000000}"/>
    <cellStyle name="Euro 17" xfId="11" xr:uid="{00000000-0005-0000-0000-000036000000}"/>
    <cellStyle name="Euro 17 2" xfId="119" xr:uid="{00000000-0005-0000-0000-000037000000}"/>
    <cellStyle name="Euro 17 3" xfId="118" xr:uid="{00000000-0005-0000-0000-000038000000}"/>
    <cellStyle name="Euro 18" xfId="12" xr:uid="{00000000-0005-0000-0000-000039000000}"/>
    <cellStyle name="Euro 18 2" xfId="120" xr:uid="{00000000-0005-0000-0000-00003A000000}"/>
    <cellStyle name="Euro 19" xfId="103" xr:uid="{00000000-0005-0000-0000-00003B000000}"/>
    <cellStyle name="Euro 2" xfId="13" xr:uid="{00000000-0005-0000-0000-00003C000000}"/>
    <cellStyle name="Euro 2 2" xfId="122" xr:uid="{00000000-0005-0000-0000-00003D000000}"/>
    <cellStyle name="Euro 2 3" xfId="121" xr:uid="{00000000-0005-0000-0000-00003E000000}"/>
    <cellStyle name="Euro 3" xfId="14" xr:uid="{00000000-0005-0000-0000-00003F000000}"/>
    <cellStyle name="Euro 3 2" xfId="124" xr:uid="{00000000-0005-0000-0000-000040000000}"/>
    <cellStyle name="Euro 3 3" xfId="123" xr:uid="{00000000-0005-0000-0000-000041000000}"/>
    <cellStyle name="Euro 4" xfId="15" xr:uid="{00000000-0005-0000-0000-000042000000}"/>
    <cellStyle name="Euro 4 2" xfId="126" xr:uid="{00000000-0005-0000-0000-000043000000}"/>
    <cellStyle name="Euro 4 3" xfId="125" xr:uid="{00000000-0005-0000-0000-000044000000}"/>
    <cellStyle name="Euro 5" xfId="16" xr:uid="{00000000-0005-0000-0000-000045000000}"/>
    <cellStyle name="Euro 5 2" xfId="128" xr:uid="{00000000-0005-0000-0000-000046000000}"/>
    <cellStyle name="Euro 5 3" xfId="127" xr:uid="{00000000-0005-0000-0000-000047000000}"/>
    <cellStyle name="Euro 6" xfId="17" xr:uid="{00000000-0005-0000-0000-000048000000}"/>
    <cellStyle name="Euro 6 2" xfId="130" xr:uid="{00000000-0005-0000-0000-000049000000}"/>
    <cellStyle name="Euro 6 3" xfId="129" xr:uid="{00000000-0005-0000-0000-00004A000000}"/>
    <cellStyle name="Euro 7" xfId="18" xr:uid="{00000000-0005-0000-0000-00004B000000}"/>
    <cellStyle name="Euro 7 2" xfId="132" xr:uid="{00000000-0005-0000-0000-00004C000000}"/>
    <cellStyle name="Euro 7 3" xfId="131" xr:uid="{00000000-0005-0000-0000-00004D000000}"/>
    <cellStyle name="Euro 8" xfId="19" xr:uid="{00000000-0005-0000-0000-00004E000000}"/>
    <cellStyle name="Euro 8 2" xfId="134" xr:uid="{00000000-0005-0000-0000-00004F000000}"/>
    <cellStyle name="Euro 8 3" xfId="133" xr:uid="{00000000-0005-0000-0000-000050000000}"/>
    <cellStyle name="Euro 9" xfId="20" xr:uid="{00000000-0005-0000-0000-000051000000}"/>
    <cellStyle name="Euro 9 2" xfId="136" xr:uid="{00000000-0005-0000-0000-000052000000}"/>
    <cellStyle name="Euro 9 3" xfId="135" xr:uid="{00000000-0005-0000-0000-000053000000}"/>
    <cellStyle name="Euro_RSU Caracterizs. y otros datos 2.07.13" xfId="21" xr:uid="{00000000-0005-0000-0000-000054000000}"/>
    <cellStyle name="Hipervínculo" xfId="22" builtinId="8"/>
    <cellStyle name="Hipervínculo 2" xfId="72" xr:uid="{00000000-0005-0000-0000-000056000000}"/>
    <cellStyle name="Hipervínculo 3" xfId="192" xr:uid="{00000000-0005-0000-0000-000057000000}"/>
    <cellStyle name="Incorrecto 2" xfId="137" xr:uid="{00000000-0005-0000-0000-000058000000}"/>
    <cellStyle name="Millares" xfId="23" builtinId="3"/>
    <cellStyle name="Millares [0] 2" xfId="24" xr:uid="{00000000-0005-0000-0000-00005A000000}"/>
    <cellStyle name="Millares [0] 2 2" xfId="25" xr:uid="{00000000-0005-0000-0000-00005B000000}"/>
    <cellStyle name="Millares [0] 2 2 2" xfId="141" xr:uid="{00000000-0005-0000-0000-00005C000000}"/>
    <cellStyle name="Millares [0] 2 2 3" xfId="140" xr:uid="{00000000-0005-0000-0000-00005D000000}"/>
    <cellStyle name="Millares [0] 2 3" xfId="26" xr:uid="{00000000-0005-0000-0000-00005E000000}"/>
    <cellStyle name="Millares [0] 2 3 2" xfId="142" xr:uid="{00000000-0005-0000-0000-00005F000000}"/>
    <cellStyle name="Millares [0] 2 4" xfId="139" xr:uid="{00000000-0005-0000-0000-000060000000}"/>
    <cellStyle name="Millares [0] 3" xfId="143" xr:uid="{00000000-0005-0000-0000-000061000000}"/>
    <cellStyle name="Millares 2" xfId="27" xr:uid="{00000000-0005-0000-0000-000063000000}"/>
    <cellStyle name="Millares 2 2" xfId="28" xr:uid="{00000000-0005-0000-0000-000064000000}"/>
    <cellStyle name="Millares 2 2 2" xfId="29" xr:uid="{00000000-0005-0000-0000-000065000000}"/>
    <cellStyle name="Millares 2 2 2 2" xfId="146" xr:uid="{00000000-0005-0000-0000-000066000000}"/>
    <cellStyle name="Millares 2 2 3" xfId="145" xr:uid="{00000000-0005-0000-0000-000067000000}"/>
    <cellStyle name="Millares 2 3" xfId="147" xr:uid="{00000000-0005-0000-0000-000068000000}"/>
    <cellStyle name="Millares 2 4" xfId="144" xr:uid="{00000000-0005-0000-0000-000069000000}"/>
    <cellStyle name="Millares 3" xfId="30" xr:uid="{00000000-0005-0000-0000-00006A000000}"/>
    <cellStyle name="Millares 3 2" xfId="31" xr:uid="{00000000-0005-0000-0000-00006B000000}"/>
    <cellStyle name="Millares 3 2 2" xfId="149" xr:uid="{00000000-0005-0000-0000-00006C000000}"/>
    <cellStyle name="Millares 3 3" xfId="148" xr:uid="{00000000-0005-0000-0000-00006D000000}"/>
    <cellStyle name="Millares 4" xfId="32" xr:uid="{00000000-0005-0000-0000-00006E000000}"/>
    <cellStyle name="Millares 4 2" xfId="33" xr:uid="{00000000-0005-0000-0000-00006F000000}"/>
    <cellStyle name="Millares 4 2 2" xfId="152" xr:uid="{00000000-0005-0000-0000-000070000000}"/>
    <cellStyle name="Millares 4 2 3" xfId="151" xr:uid="{00000000-0005-0000-0000-000071000000}"/>
    <cellStyle name="Millares 4 3" xfId="153" xr:uid="{00000000-0005-0000-0000-000072000000}"/>
    <cellStyle name="Millares 4 4" xfId="150" xr:uid="{00000000-0005-0000-0000-000073000000}"/>
    <cellStyle name="Millares 5" xfId="34" xr:uid="{00000000-0005-0000-0000-000074000000}"/>
    <cellStyle name="Millares 5 2" xfId="35" xr:uid="{00000000-0005-0000-0000-000075000000}"/>
    <cellStyle name="Millares 5 2 2" xfId="155" xr:uid="{00000000-0005-0000-0000-000076000000}"/>
    <cellStyle name="Millares 5 3" xfId="154" xr:uid="{00000000-0005-0000-0000-000077000000}"/>
    <cellStyle name="Millares 6" xfId="36" xr:uid="{00000000-0005-0000-0000-000078000000}"/>
    <cellStyle name="Millares 6 2" xfId="157" xr:uid="{00000000-0005-0000-0000-000079000000}"/>
    <cellStyle name="Millares 6 3" xfId="156" xr:uid="{00000000-0005-0000-0000-00007A000000}"/>
    <cellStyle name="Millares 7" xfId="37" xr:uid="{00000000-0005-0000-0000-00007B000000}"/>
    <cellStyle name="Millares 7 2" xfId="158" xr:uid="{00000000-0005-0000-0000-00007C000000}"/>
    <cellStyle name="Millares 8" xfId="138" xr:uid="{00000000-0005-0000-0000-00007D000000}"/>
    <cellStyle name="Millares_1.4_residuos_16" xfId="38" xr:uid="{00000000-0005-0000-0000-00007E000000}"/>
    <cellStyle name="Neutral 1" xfId="159" xr:uid="{00000000-0005-0000-0000-00007F000000}"/>
    <cellStyle name="No-definido" xfId="39" xr:uid="{00000000-0005-0000-0000-000080000000}"/>
    <cellStyle name="Normal" xfId="0" builtinId="0" customBuiltin="1"/>
    <cellStyle name="Normal 2" xfId="40" xr:uid="{00000000-0005-0000-0000-000082000000}"/>
    <cellStyle name="Normal 2 2" xfId="41" xr:uid="{00000000-0005-0000-0000-000083000000}"/>
    <cellStyle name="Normal 2 2 2" xfId="42" xr:uid="{00000000-0005-0000-0000-000084000000}"/>
    <cellStyle name="Normal 2 3" xfId="43" xr:uid="{00000000-0005-0000-0000-000085000000}"/>
    <cellStyle name="Normal 2_RSU Caracterizs. y otros datos 2.07.13" xfId="44" xr:uid="{00000000-0005-0000-0000-000086000000}"/>
    <cellStyle name="Normal 3" xfId="45" xr:uid="{00000000-0005-0000-0000-000087000000}"/>
    <cellStyle name="Normal 4" xfId="46" xr:uid="{00000000-0005-0000-0000-000088000000}"/>
    <cellStyle name="Normal 40" xfId="47" xr:uid="{00000000-0005-0000-0000-000089000000}"/>
    <cellStyle name="Normal 5" xfId="48" xr:uid="{00000000-0005-0000-0000-00008A000000}"/>
    <cellStyle name="Normal 6" xfId="49" xr:uid="{00000000-0005-0000-0000-00008B000000}"/>
    <cellStyle name="Normal 7" xfId="50" xr:uid="{00000000-0005-0000-0000-00008C000000}"/>
    <cellStyle name="Normal 8" xfId="51" xr:uid="{00000000-0005-0000-0000-00008D000000}"/>
    <cellStyle name="Normal 9" xfId="52" xr:uid="{00000000-0005-0000-0000-00008E000000}"/>
    <cellStyle name="Normal_Datos presentación presupuesto 2003 2" xfId="53" xr:uid="{00000000-0005-0000-0000-00008F000000}"/>
    <cellStyle name="Notas 2" xfId="161" xr:uid="{00000000-0005-0000-0000-000090000000}"/>
    <cellStyle name="Notas 3" xfId="160" xr:uid="{00000000-0005-0000-0000-000091000000}"/>
    <cellStyle name="Notas 40" xfId="54" xr:uid="{00000000-0005-0000-0000-000092000000}"/>
    <cellStyle name="Notas 40 2" xfId="163" xr:uid="{00000000-0005-0000-0000-000093000000}"/>
    <cellStyle name="Notas 40 3" xfId="162" xr:uid="{00000000-0005-0000-0000-000094000000}"/>
    <cellStyle name="NUMEROS" xfId="195" xr:uid="{8A1BC8A3-6B7E-498E-91F9-2A774C5A50B2}"/>
    <cellStyle name="Output Amounts" xfId="55" xr:uid="{00000000-0005-0000-0000-000095000000}"/>
    <cellStyle name="Output Column Headings" xfId="56" xr:uid="{00000000-0005-0000-0000-000096000000}"/>
    <cellStyle name="Output Line Items" xfId="57" xr:uid="{00000000-0005-0000-0000-000097000000}"/>
    <cellStyle name="Output Report Heading" xfId="58" xr:uid="{00000000-0005-0000-0000-000098000000}"/>
    <cellStyle name="Porcentaje" xfId="59" builtinId="5"/>
    <cellStyle name="Porcentaje 2" xfId="60" xr:uid="{00000000-0005-0000-0000-00009A000000}"/>
    <cellStyle name="Porcentaje 2 2" xfId="165" xr:uid="{00000000-0005-0000-0000-00009B000000}"/>
    <cellStyle name="Porcentaje 3" xfId="164" xr:uid="{00000000-0005-0000-0000-00009C000000}"/>
    <cellStyle name="Porcentaje 4" xfId="193" xr:uid="{00000000-0005-0000-0000-00009D000000}"/>
    <cellStyle name="Porcentual 2" xfId="61" xr:uid="{00000000-0005-0000-0000-00009E000000}"/>
    <cellStyle name="Porcentual 2 2" xfId="167" xr:uid="{00000000-0005-0000-0000-00009F000000}"/>
    <cellStyle name="Porcentual 2 3" xfId="166" xr:uid="{00000000-0005-0000-0000-0000A0000000}"/>
    <cellStyle name="Porcentual 3" xfId="62" xr:uid="{00000000-0005-0000-0000-0000A1000000}"/>
    <cellStyle name="Porcentual 3 2" xfId="63" xr:uid="{00000000-0005-0000-0000-0000A2000000}"/>
    <cellStyle name="Porcentual 3 2 2" xfId="170" xr:uid="{00000000-0005-0000-0000-0000A3000000}"/>
    <cellStyle name="Porcentual 3 2 3" xfId="169" xr:uid="{00000000-0005-0000-0000-0000A4000000}"/>
    <cellStyle name="Porcentual 3 3" xfId="171" xr:uid="{00000000-0005-0000-0000-0000A5000000}"/>
    <cellStyle name="Porcentual 3 4" xfId="168" xr:uid="{00000000-0005-0000-0000-0000A6000000}"/>
    <cellStyle name="Porcentual 4" xfId="64" xr:uid="{00000000-0005-0000-0000-0000A7000000}"/>
    <cellStyle name="Porcentual 4 2" xfId="173" xr:uid="{00000000-0005-0000-0000-0000A8000000}"/>
    <cellStyle name="Porcentual 4 3" xfId="172" xr:uid="{00000000-0005-0000-0000-0000A9000000}"/>
    <cellStyle name="Porcentual 5" xfId="65" xr:uid="{00000000-0005-0000-0000-0000AA000000}"/>
    <cellStyle name="Porcentual 5 2" xfId="175" xr:uid="{00000000-0005-0000-0000-0000AB000000}"/>
    <cellStyle name="Porcentual 5 3" xfId="174" xr:uid="{00000000-0005-0000-0000-0000AC000000}"/>
    <cellStyle name="Porcentual 6" xfId="66" xr:uid="{00000000-0005-0000-0000-0000AD000000}"/>
    <cellStyle name="Porcentual 6 2" xfId="177" xr:uid="{00000000-0005-0000-0000-0000AE000000}"/>
    <cellStyle name="Porcentual 6 3" xfId="176" xr:uid="{00000000-0005-0000-0000-0000AF000000}"/>
    <cellStyle name="Porcentual 7" xfId="67" xr:uid="{00000000-0005-0000-0000-0000B0000000}"/>
    <cellStyle name="Porcentual 7 2" xfId="68" xr:uid="{00000000-0005-0000-0000-0000B1000000}"/>
    <cellStyle name="Porcentual 7 2 2" xfId="179" xr:uid="{00000000-0005-0000-0000-0000B2000000}"/>
    <cellStyle name="Porcentual 7 3" xfId="178" xr:uid="{00000000-0005-0000-0000-0000B3000000}"/>
    <cellStyle name="Punto0 - Modelo2" xfId="69" xr:uid="{00000000-0005-0000-0000-0000B4000000}"/>
    <cellStyle name="Punto0 - Modelo2 2" xfId="181" xr:uid="{00000000-0005-0000-0000-0000B5000000}"/>
    <cellStyle name="Punto0 - Modelo2 3" xfId="180" xr:uid="{00000000-0005-0000-0000-0000B6000000}"/>
    <cellStyle name="Punto1 - Modelo1" xfId="70" xr:uid="{00000000-0005-0000-0000-0000B7000000}"/>
    <cellStyle name="Punto1 - Modelo1 2" xfId="183" xr:uid="{00000000-0005-0000-0000-0000B8000000}"/>
    <cellStyle name="Punto1 - Modelo1 3" xfId="182" xr:uid="{00000000-0005-0000-0000-0000B9000000}"/>
    <cellStyle name="Salida 2" xfId="184" xr:uid="{00000000-0005-0000-0000-0000BA000000}"/>
    <cellStyle name="Texto de advertencia 2" xfId="185" xr:uid="{00000000-0005-0000-0000-0000BB000000}"/>
    <cellStyle name="Texto explicativo 2" xfId="186" xr:uid="{00000000-0005-0000-0000-0000BC000000}"/>
    <cellStyle name="Título 1" xfId="188" xr:uid="{00000000-0005-0000-0000-0000BD000000}"/>
    <cellStyle name="Título 2 2" xfId="189" xr:uid="{00000000-0005-0000-0000-0000BE000000}"/>
    <cellStyle name="Título 3 2" xfId="190" xr:uid="{00000000-0005-0000-0000-0000BF000000}"/>
    <cellStyle name="Título 4" xfId="187" xr:uid="{00000000-0005-0000-0000-0000C0000000}"/>
    <cellStyle name="Toneladas" xfId="71" xr:uid="{00000000-0005-0000-0000-0000C1000000}"/>
    <cellStyle name="Total 2" xfId="191" xr:uid="{00000000-0005-0000-0000-0000C2000000}"/>
  </cellStyles>
  <dxfs count="152">
    <dxf>
      <alignment horizontal="center" vertical="center" textRotation="0" wrapText="0" indent="0" justifyLastLine="0" shrinkToFit="0" readingOrder="0"/>
    </dxf>
    <dxf>
      <numFmt numFmtId="186" formatCode="0.0\ %"/>
    </dxf>
    <dxf>
      <border outline="0">
        <right style="thin">
          <color theme="0"/>
        </right>
      </border>
    </dxf>
    <dxf>
      <alignment horizontal="general"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vertical="center" textRotation="0" wrapText="1" indent="0" justifyLastLine="0" shrinkToFit="0" readingOrder="0"/>
    </dxf>
    <dxf>
      <numFmt numFmtId="173" formatCode="#,##0.0"/>
    </dxf>
    <dxf>
      <border outline="0">
        <top style="thin">
          <color indexed="8"/>
        </top>
      </border>
    </dxf>
    <dxf>
      <border outline="0">
        <left style="thin">
          <color indexed="8"/>
        </left>
        <right style="thin">
          <color indexed="8"/>
        </right>
        <top style="thin">
          <color indexed="8"/>
        </top>
        <bottom style="thin">
          <color indexed="8"/>
        </bottom>
      </border>
    </dxf>
    <dxf>
      <border outline="0">
        <bottom style="thin">
          <color indexed="8"/>
        </bottom>
      </border>
    </dxf>
    <dxf>
      <alignment horizontal="center" vertical="center" textRotation="0" wrapText="1" indent="0" justifyLastLine="0" shrinkToFit="0" readingOrder="0"/>
    </dxf>
    <dxf>
      <border outline="0">
        <top style="thin">
          <color indexed="8"/>
        </top>
      </border>
    </dxf>
    <dxf>
      <border outline="0">
        <left style="thin">
          <color indexed="8"/>
        </left>
        <right style="thin">
          <color indexed="8"/>
        </right>
        <top style="thin">
          <color indexed="8"/>
        </top>
        <bottom style="thin">
          <color indexed="8"/>
        </bottom>
      </border>
    </dxf>
    <dxf>
      <border outline="0">
        <bottom style="thin">
          <color indexed="8"/>
        </bottom>
      </border>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numFmt numFmtId="188" formatCode="_-* #,##0.0\ _P_t_s_-;\-* #,##0.0\ _P_t_s_-;_-* \-??\ _P_t_s_-;_-@_-"/>
    </dxf>
    <dxf>
      <font>
        <b val="0"/>
        <i val="0"/>
        <strike val="0"/>
        <condense val="0"/>
        <extend val="0"/>
        <outline val="0"/>
        <shadow val="0"/>
        <u val="none"/>
        <vertAlign val="baseline"/>
        <sz val="10"/>
        <color auto="1"/>
        <name val="Arial"/>
        <family val="2"/>
        <scheme val="none"/>
      </font>
      <border diagonalUp="0" diagonalDown="0">
        <left/>
        <right style="thin">
          <color indexed="8"/>
        </right>
        <top style="thin">
          <color indexed="8"/>
        </top>
        <bottom style="thin">
          <color indexed="8"/>
        </bottom>
        <vertical/>
        <horizontal/>
      </border>
    </dxf>
    <dxf>
      <border outline="0">
        <top style="thin">
          <color indexed="8"/>
        </top>
      </border>
    </dxf>
    <dxf>
      <border outline="0">
        <left style="thin">
          <color indexed="8"/>
        </left>
        <right style="thin">
          <color indexed="8"/>
        </right>
        <top style="thin">
          <color indexed="8"/>
        </top>
        <bottom style="thin">
          <color indexed="8"/>
        </bottom>
      </border>
    </dxf>
    <dxf>
      <border outline="0">
        <bottom style="thin">
          <color indexed="8"/>
        </bottom>
      </border>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dxf>
    <dxf>
      <border outline="0">
        <bottom style="medium">
          <color indexed="64"/>
        </bottom>
      </border>
    </dxf>
    <dxf>
      <font>
        <b val="0"/>
        <i val="0"/>
        <strike val="0"/>
        <condense val="0"/>
        <extend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theme="0"/>
        </bottom>
      </border>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numFmt numFmtId="186" formatCode="0.0\ %"/>
    </dxf>
    <dxf>
      <font>
        <strike val="0"/>
        <outline val="0"/>
        <shadow val="0"/>
        <u val="none"/>
        <vertAlign val="baseline"/>
        <color auto="1"/>
        <name val="Segoe UI"/>
        <family val="2"/>
        <scheme val="none"/>
      </font>
    </dxf>
    <dxf>
      <border outline="0">
        <right style="thin">
          <color theme="0"/>
        </right>
      </border>
    </dxf>
    <dxf>
      <font>
        <strike val="0"/>
        <outline val="0"/>
        <shadow val="0"/>
        <u val="none"/>
        <vertAlign val="baseline"/>
        <color auto="1"/>
        <name val="Segoe UI"/>
        <family val="2"/>
        <scheme val="none"/>
      </font>
    </dxf>
    <dxf>
      <font>
        <strike val="0"/>
        <outline val="0"/>
        <shadow val="0"/>
        <u val="none"/>
        <vertAlign val="baseline"/>
        <color auto="1"/>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dxf>
    <dxf>
      <font>
        <strike val="0"/>
        <outline val="0"/>
        <shadow val="0"/>
        <vertAlign val="baseline"/>
        <sz val="10"/>
        <name val="Segoe UI"/>
        <family val="2"/>
        <scheme val="none"/>
      </font>
      <alignment horizontal="center" vertical="center" textRotation="0" wrapText="1" indent="0" justifyLastLine="0" shrinkToFit="0" readingOrder="0"/>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8"/>
        <color auto="1"/>
        <name val="Arial"/>
        <family val="2"/>
        <scheme val="none"/>
      </font>
      <numFmt numFmtId="181" formatCode="_-* #,##0\ _P_t_s_-;\-* #,##0\ _P_t_s_-;_-* \-??\ _P_t_s_-;_-@_-"/>
    </dxf>
    <dxf>
      <font>
        <strike val="0"/>
        <outline val="0"/>
        <shadow val="0"/>
        <u val="none"/>
        <vertAlign val="baseline"/>
        <sz val="10"/>
        <name val="Segoe UI"/>
        <family val="2"/>
        <scheme val="none"/>
      </font>
    </dxf>
    <dxf>
      <border outline="0">
        <right style="thin">
          <color theme="0"/>
        </right>
      </border>
    </dxf>
    <dxf>
      <font>
        <strike val="0"/>
        <outline val="0"/>
        <shadow val="0"/>
        <u val="none"/>
        <vertAlign val="baseline"/>
        <sz val="10"/>
        <name val="Segoe UI"/>
        <family val="2"/>
        <scheme val="none"/>
      </font>
    </dxf>
    <dxf>
      <font>
        <strike val="0"/>
        <outline val="0"/>
        <shadow val="0"/>
        <u val="none"/>
        <vertAlign val="baseline"/>
        <sz val="10"/>
        <name val="Segoe UI"/>
        <family val="2"/>
        <scheme val="none"/>
      </font>
    </dxf>
    <dxf>
      <border outline="0">
        <top style="thin">
          <color theme="0"/>
        </top>
      </border>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border outline="0">
        <top style="thin">
          <color indexed="64"/>
        </top>
      </border>
    </dxf>
    <dxf>
      <font>
        <strike val="0"/>
        <outline val="0"/>
        <shadow val="0"/>
        <u val="none"/>
        <vertAlign val="baseline"/>
        <sz val="11"/>
        <name val="Segoe UI"/>
        <family val="2"/>
        <scheme val="none"/>
      </font>
    </dxf>
    <dxf>
      <font>
        <strike val="0"/>
        <outline val="0"/>
        <shadow val="0"/>
        <u val="none"/>
        <vertAlign val="baseline"/>
        <sz val="11"/>
        <name val="Segoe UI"/>
        <family val="2"/>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1"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81" formatCode="_-* #,##0\ _P_t_s_-;\-* #,##0\ _P_t_s_-;_-* \-??\ _P_t_s_-;_-@_-"/>
      <alignment horizontal="center" vertical="center" textRotation="0" wrapText="0" indent="0" justifyLastLine="0" shrinkToFit="0" readingOrder="0"/>
    </dxf>
    <dxf>
      <numFmt numFmtId="181" formatCode="_-* #,##0\ _P_t_s_-;\-* #,##0\ _P_t_s_-;_-* \-??\ _P_t_s_-;_-@_-"/>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numFmt numFmtId="181" formatCode="_-* #,##0\ _P_t_s_-;\-* #,##0\ _P_t_s_-;_-* \-??\ _P_t_s_-;_-@_-"/>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1" indent="0" justifyLastLine="0" shrinkToFit="0" readingOrder="0"/>
    </dxf>
    <dxf>
      <fill>
        <patternFill>
          <bgColor theme="0" tint="-4.9989318521683403E-2"/>
        </patternFill>
      </fill>
    </dxf>
    <dxf>
      <fill>
        <patternFill>
          <bgColor theme="0"/>
        </patternFill>
      </fill>
      <border>
        <left style="thin">
          <color theme="0" tint="-0.499984740745262"/>
        </left>
        <right style="thin">
          <color theme="0" tint="-0.499984740745262"/>
        </right>
        <top style="thin">
          <color theme="0" tint="-0.499984740745262"/>
        </top>
        <bottom style="thin">
          <color theme="0" tint="-0.499984740745262"/>
        </bottom>
        <horizontal style="thin">
          <color theme="0" tint="-0.499984740745262"/>
        </horizontal>
      </border>
    </dxf>
  </dxfs>
  <tableStyles count="1" defaultTableStyle="TableStyleMedium2" defaultPivotStyle="PivotStyleLight16">
    <tableStyle name="Estilo de tabla 1" pivot="0" count="2" xr9:uid="{1ED20F7A-90AE-4484-8A75-B7F2BC411823}">
      <tableStyleElement type="wholeTable" dxfId="151"/>
      <tableStyleElement type="headerRow" dxfId="15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C000"/>
      <rgbColor rgb="0000FFFF"/>
      <rgbColor rgb="00800080"/>
      <rgbColor rgb="00800000"/>
      <rgbColor rgb="00008080"/>
      <rgbColor rgb="000000FF"/>
      <rgbColor rgb="0000CCFF"/>
      <rgbColor rgb="00CCFFFF"/>
      <rgbColor rgb="00CCFFCC"/>
      <rgbColor rgb="00FFFF99"/>
      <rgbColor rgb="0099CCFF"/>
      <rgbColor rgb="00FF99CC"/>
      <rgbColor rgb="009BBB59"/>
      <rgbColor rgb="00FFCC99"/>
      <rgbColor rgb="003366FF"/>
      <rgbColor rgb="0033CCCC"/>
      <rgbColor rgb="0099CC00"/>
      <rgbColor rgb="00FFCC00"/>
      <rgbColor rgb="00FF9900"/>
      <rgbColor rgb="00FF6600"/>
      <rgbColor rgb="004F81BD"/>
      <rgbColor rgb="00969696"/>
      <rgbColor rgb="00003366"/>
      <rgbColor rgb="00339966"/>
      <rgbColor rgb="00003300"/>
      <rgbColor rgb="00333300"/>
      <rgbColor rgb="00993300"/>
      <rgbColor rgb="00C0504D"/>
      <rgbColor rgb="00333399"/>
      <rgbColor rgb="00333333"/>
    </indexedColors>
    <mruColors>
      <color rgb="FFBF8B2E"/>
      <color rgb="FFFDFD9A"/>
      <color rgb="FFFFFFCC"/>
      <color rgb="FFFFCC99"/>
      <color rgb="FFFFFF99"/>
      <color rgb="FFFEFE99"/>
      <color rgb="FFFFFF9A"/>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51114089462218"/>
          <c:y val="9.0845119180246348E-2"/>
          <c:w val="0.8492230172473253"/>
          <c:h val="0.72503315590224116"/>
        </c:manualLayout>
      </c:layout>
      <c:barChart>
        <c:barDir val="col"/>
        <c:grouping val="clustered"/>
        <c:varyColors val="0"/>
        <c:ser>
          <c:idx val="0"/>
          <c:order val="0"/>
          <c:tx>
            <c:v>Cantidad total de residuos generados en Aragón (t)</c:v>
          </c:tx>
          <c:spPr>
            <a:solidFill>
              <a:srgbClr val="BF8B2E"/>
            </a:solidFill>
          </c:spPr>
          <c:invertIfNegative val="0"/>
          <c:dLbls>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6"/>
              <c:pt idx="0">
                <c:v>2017</c:v>
              </c:pt>
              <c:pt idx="1">
                <c:v>2018</c:v>
              </c:pt>
              <c:pt idx="2">
                <c:v>2019</c:v>
              </c:pt>
              <c:pt idx="3">
                <c:v>2020</c:v>
              </c:pt>
              <c:pt idx="4">
                <c:v>2021</c:v>
              </c:pt>
              <c:pt idx="5">
                <c:v>2022</c:v>
              </c:pt>
            </c:numLit>
          </c:cat>
          <c:val>
            <c:numLit>
              <c:formatCode>General</c:formatCode>
              <c:ptCount val="6"/>
              <c:pt idx="0">
                <c:v>4416289</c:v>
              </c:pt>
              <c:pt idx="1">
                <c:v>3801798</c:v>
              </c:pt>
              <c:pt idx="2">
                <c:v>3303921.0615680004</c:v>
              </c:pt>
              <c:pt idx="3">
                <c:v>2793174</c:v>
              </c:pt>
              <c:pt idx="4">
                <c:v>2978287.1477229996</c:v>
              </c:pt>
              <c:pt idx="5">
                <c:v>3103808.9259169996</c:v>
              </c:pt>
            </c:numLit>
          </c:val>
          <c:extLst>
            <c:ext xmlns:c16="http://schemas.microsoft.com/office/drawing/2014/chart" uri="{C3380CC4-5D6E-409C-BE32-E72D297353CC}">
              <c16:uniqueId val="{00000000-ECF7-4E65-A4ED-BBD480BC2ACC}"/>
            </c:ext>
          </c:extLst>
        </c:ser>
        <c:dLbls>
          <c:showLegendKey val="0"/>
          <c:showVal val="0"/>
          <c:showCatName val="0"/>
          <c:showSerName val="0"/>
          <c:showPercent val="0"/>
          <c:showBubbleSize val="0"/>
        </c:dLbls>
        <c:gapWidth val="150"/>
        <c:axId val="451195464"/>
        <c:axId val="1"/>
      </c:barChart>
      <c:lineChart>
        <c:grouping val="standard"/>
        <c:varyColors val="0"/>
        <c:ser>
          <c:idx val="1"/>
          <c:order val="1"/>
          <c:tx>
            <c:v>Objetivo prevención 2020 (10%)</c:v>
          </c:tx>
          <c:spPr>
            <a:ln>
              <a:solidFill>
                <a:schemeClr val="accent1"/>
              </a:solidFill>
            </a:ln>
          </c:spPr>
          <c:marker>
            <c:spPr>
              <a:solidFill>
                <a:srgbClr val="0070C0"/>
              </a:solidFill>
              <a:ln>
                <a:solidFill>
                  <a:srgbClr val="0070C0"/>
                </a:solidFill>
              </a:ln>
            </c:spPr>
          </c:marker>
          <c:cat>
            <c:numLit>
              <c:formatCode>General</c:formatCode>
              <c:ptCount val="5"/>
              <c:pt idx="0">
                <c:v>2017</c:v>
              </c:pt>
              <c:pt idx="1">
                <c:v>2018</c:v>
              </c:pt>
              <c:pt idx="2">
                <c:v>2019</c:v>
              </c:pt>
              <c:pt idx="3">
                <c:v>2020</c:v>
              </c:pt>
              <c:pt idx="4">
                <c:v>2021</c:v>
              </c:pt>
            </c:numLit>
          </c:cat>
          <c:val>
            <c:numLit>
              <c:formatCode>General</c:formatCode>
              <c:ptCount val="6"/>
              <c:pt idx="0">
                <c:v>3136527</c:v>
              </c:pt>
              <c:pt idx="1">
                <c:v>3136527</c:v>
              </c:pt>
              <c:pt idx="2">
                <c:v>3136527</c:v>
              </c:pt>
              <c:pt idx="3">
                <c:v>3136527</c:v>
              </c:pt>
              <c:pt idx="4">
                <c:v>3136527</c:v>
              </c:pt>
              <c:pt idx="5">
                <c:v>3136527</c:v>
              </c:pt>
            </c:numLit>
          </c:val>
          <c:smooth val="0"/>
          <c:extLst>
            <c:ext xmlns:c16="http://schemas.microsoft.com/office/drawing/2014/chart" uri="{C3380CC4-5D6E-409C-BE32-E72D297353CC}">
              <c16:uniqueId val="{00000001-ECF7-4E65-A4ED-BBD480BC2ACC}"/>
            </c:ext>
          </c:extLst>
        </c:ser>
        <c:ser>
          <c:idx val="2"/>
          <c:order val="2"/>
          <c:tx>
            <c:v>Objetivo prevención 2025 (13%)</c:v>
          </c:tx>
          <c:spPr>
            <a:ln>
              <a:solidFill>
                <a:srgbClr val="C00000"/>
              </a:solidFill>
            </a:ln>
          </c:spPr>
          <c:marker>
            <c:spPr>
              <a:solidFill>
                <a:schemeClr val="accent2">
                  <a:lumMod val="75000"/>
                </a:schemeClr>
              </a:solidFill>
              <a:ln>
                <a:solidFill>
                  <a:schemeClr val="accent2">
                    <a:lumMod val="75000"/>
                  </a:schemeClr>
                </a:solidFill>
              </a:ln>
            </c:spPr>
          </c:marker>
          <c:cat>
            <c:numLit>
              <c:formatCode>General</c:formatCode>
              <c:ptCount val="5"/>
              <c:pt idx="0">
                <c:v>2017</c:v>
              </c:pt>
              <c:pt idx="1">
                <c:v>2018</c:v>
              </c:pt>
              <c:pt idx="2">
                <c:v>2019</c:v>
              </c:pt>
              <c:pt idx="3">
                <c:v>2020</c:v>
              </c:pt>
              <c:pt idx="4">
                <c:v>2021</c:v>
              </c:pt>
            </c:numLit>
          </c:cat>
          <c:val>
            <c:numLit>
              <c:formatCode>General</c:formatCode>
              <c:ptCount val="6"/>
              <c:pt idx="0">
                <c:v>3031976.1</c:v>
              </c:pt>
              <c:pt idx="1">
                <c:v>3031976.1</c:v>
              </c:pt>
              <c:pt idx="2">
                <c:v>3031976.1</c:v>
              </c:pt>
              <c:pt idx="3">
                <c:v>3031976.1</c:v>
              </c:pt>
              <c:pt idx="4">
                <c:v>3031976.1</c:v>
              </c:pt>
              <c:pt idx="5">
                <c:v>3031976.1</c:v>
              </c:pt>
            </c:numLit>
          </c:val>
          <c:smooth val="0"/>
          <c:extLst>
            <c:ext xmlns:c16="http://schemas.microsoft.com/office/drawing/2014/chart" uri="{C3380CC4-5D6E-409C-BE32-E72D297353CC}">
              <c16:uniqueId val="{00000002-ECF7-4E65-A4ED-BBD480BC2ACC}"/>
            </c:ext>
          </c:extLst>
        </c:ser>
        <c:dLbls>
          <c:showLegendKey val="0"/>
          <c:showVal val="0"/>
          <c:showCatName val="0"/>
          <c:showSerName val="0"/>
          <c:showPercent val="0"/>
          <c:showBubbleSize val="0"/>
        </c:dLbls>
        <c:marker val="1"/>
        <c:smooth val="0"/>
        <c:axId val="451195464"/>
        <c:axId val="1"/>
      </c:lineChart>
      <c:catAx>
        <c:axId val="45119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Toneladas</a:t>
                </a:r>
              </a:p>
            </c:rich>
          </c:tx>
          <c:layout>
            <c:manualLayout>
              <c:xMode val="edge"/>
              <c:yMode val="edge"/>
              <c:x val="1.3653878371586525E-3"/>
              <c:y val="0.38111671292886951"/>
            </c:manualLayout>
          </c:layout>
          <c:overlay val="0"/>
        </c:title>
        <c:numFmt formatCode="#,##0" sourceLinked="0"/>
        <c:majorTickMark val="none"/>
        <c:minorTickMark val="none"/>
        <c:tickLblPos val="nextTo"/>
        <c:spPr>
          <a:ln w="6350">
            <a:noFill/>
          </a:ln>
        </c:spPr>
        <c:txPr>
          <a:bodyPr rot="0" vert="horz"/>
          <a:lstStyle/>
          <a:p>
            <a:pPr>
              <a:defRPr/>
            </a:pPr>
            <a:endParaRPr lang="es-ES"/>
          </a:p>
        </c:txPr>
        <c:crossAx val="451195464"/>
        <c:crosses val="autoZero"/>
        <c:crossBetween val="between"/>
      </c:valAx>
      <c:spPr>
        <a:noFill/>
        <a:ln w="25400">
          <a:noFill/>
        </a:ln>
      </c:spPr>
    </c:plotArea>
    <c:legend>
      <c:legendPos val="r"/>
      <c:layout>
        <c:manualLayout>
          <c:xMode val="edge"/>
          <c:yMode val="edge"/>
          <c:x val="2.3716563355112526E-2"/>
          <c:y val="0.88855328335756578"/>
          <c:w val="0.95961235614778917"/>
          <c:h val="0.11144671664243408"/>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641130244565807"/>
          <c:y val="8.2304915156416372E-2"/>
          <c:w val="0.42977048863304251"/>
          <c:h val="0.75042201222816884"/>
        </c:manualLayout>
      </c:layout>
      <c:pieChart>
        <c:varyColors val="1"/>
        <c:ser>
          <c:idx val="0"/>
          <c:order val="0"/>
          <c:tx>
            <c:strRef>
              <c:f>'Figura 1.5-13'!$E$3</c:f>
              <c:strCache>
                <c:ptCount val="1"/>
                <c:pt idx="0">
                  <c:v>Toneladas</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0-C20A-4A19-A689-D4AA8695CA15}"/>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1-C20A-4A19-A689-D4AA8695CA15}"/>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2-C20A-4A19-A689-D4AA8695CA15}"/>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3-C20A-4A19-A689-D4AA8695CA15}"/>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4-C20A-4A19-A689-D4AA8695CA15}"/>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5-C20A-4A19-A689-D4AA8695CA15}"/>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6-C20A-4A19-A689-D4AA8695CA15}"/>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7-C20A-4A19-A689-D4AA8695CA15}"/>
              </c:ext>
            </c:extLst>
          </c:dPt>
          <c:dLbls>
            <c:dLbl>
              <c:idx val="2"/>
              <c:layout>
                <c:manualLayout>
                  <c:x val="-2.7715074264144633E-2"/>
                  <c:y val="-3.35030371104026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20A-4A19-A689-D4AA8695CA15}"/>
                </c:ext>
              </c:extLst>
            </c:dLbl>
            <c:dLbl>
              <c:idx val="5"/>
              <c:layout>
                <c:manualLayout>
                  <c:x val="2.1320966579582131E-3"/>
                  <c:y val="2.233535807360171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20A-4A19-A689-D4AA8695CA15}"/>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dLblPos val="outEnd"/>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'Figura 1.5-13'!$D$4:$D$11</c:f>
              <c:strCache>
                <c:ptCount val="8"/>
                <c:pt idx="0">
                  <c:v> LER 17</c:v>
                </c:pt>
                <c:pt idx="1">
                  <c:v> LER 03</c:v>
                </c:pt>
                <c:pt idx="2">
                  <c:v> LER 20</c:v>
                </c:pt>
                <c:pt idx="3">
                  <c:v> LER 19</c:v>
                </c:pt>
                <c:pt idx="4">
                  <c:v> LER 02</c:v>
                </c:pt>
                <c:pt idx="5">
                  <c:v> LER 12</c:v>
                </c:pt>
                <c:pt idx="6">
                  <c:v> LER 15</c:v>
                </c:pt>
                <c:pt idx="7">
                  <c:v>Resto</c:v>
                </c:pt>
              </c:strCache>
            </c:strRef>
          </c:cat>
          <c:val>
            <c:numRef>
              <c:f>'Figura 1.5-13'!$E$4:$E$11</c:f>
              <c:numCache>
                <c:formatCode>#,##0</c:formatCode>
                <c:ptCount val="8"/>
                <c:pt idx="0">
                  <c:v>930799.96273499995</c:v>
                </c:pt>
                <c:pt idx="1">
                  <c:v>621259.51</c:v>
                </c:pt>
                <c:pt idx="2">
                  <c:v>581002.08035000006</c:v>
                </c:pt>
                <c:pt idx="3">
                  <c:v>280727.67600000004</c:v>
                </c:pt>
                <c:pt idx="4">
                  <c:v>155575.93000000002</c:v>
                </c:pt>
                <c:pt idx="5">
                  <c:v>129691.48179000001</c:v>
                </c:pt>
                <c:pt idx="6">
                  <c:v>119616.82950000001</c:v>
                </c:pt>
                <c:pt idx="7">
                  <c:v>187370.15420699999</c:v>
                </c:pt>
              </c:numCache>
            </c:numRef>
          </c:val>
          <c:extLst>
            <c:ext xmlns:c16="http://schemas.microsoft.com/office/drawing/2014/chart" uri="{C3380CC4-5D6E-409C-BE32-E72D297353CC}">
              <c16:uniqueId val="{00000008-C20A-4A19-A689-D4AA8695CA15}"/>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Segoe UI" panose="020B0502040204020203" pitchFamily="34" charset="0"/>
              <a:ea typeface="+mn-ea"/>
              <a:cs typeface="Segoe UI" panose="020B0502040204020203" pitchFamily="34" charset="0"/>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Segoe UI" panose="020B0502040204020203" pitchFamily="34" charset="0"/>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33995750531184"/>
          <c:y val="5.8151609553478714E-2"/>
          <c:w val="0.83282161158426626"/>
          <c:h val="0.78733845185239693"/>
        </c:manualLayout>
      </c:layout>
      <c:barChart>
        <c:barDir val="col"/>
        <c:grouping val="clustered"/>
        <c:varyColors val="0"/>
        <c:ser>
          <c:idx val="0"/>
          <c:order val="0"/>
          <c:tx>
            <c:strRef>
              <c:f>'Figura 1.5-14'!$A$5</c:f>
              <c:strCache>
                <c:ptCount val="1"/>
                <c:pt idx="0">
                  <c:v>Producción lodos en base seca (t)</c:v>
                </c:pt>
              </c:strCache>
            </c:strRef>
          </c:tx>
          <c:spPr>
            <a:solidFill>
              <a:srgbClr val="BF8B2E"/>
            </a:solidFill>
            <a:ln w="22225">
              <a:no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1.5-14'!$H$3:$L$3</c:f>
              <c:strCache>
                <c:ptCount val="5"/>
                <c:pt idx="0">
                  <c:v>2.018</c:v>
                </c:pt>
                <c:pt idx="1">
                  <c:v>2.019</c:v>
                </c:pt>
                <c:pt idx="2">
                  <c:v>2.020</c:v>
                </c:pt>
                <c:pt idx="3">
                  <c:v>2.021</c:v>
                </c:pt>
                <c:pt idx="4">
                  <c:v>2.022</c:v>
                </c:pt>
              </c:strCache>
            </c:strRef>
          </c:cat>
          <c:val>
            <c:numRef>
              <c:f>'Figura 1.5-14'!$H$5:$L$5</c:f>
              <c:numCache>
                <c:formatCode>#,##0</c:formatCode>
                <c:ptCount val="5"/>
                <c:pt idx="0">
                  <c:v>27168.93</c:v>
                </c:pt>
                <c:pt idx="1">
                  <c:v>27794.878264000003</c:v>
                </c:pt>
                <c:pt idx="2">
                  <c:v>26031.000000000004</c:v>
                </c:pt>
                <c:pt idx="3">
                  <c:v>28733.55</c:v>
                </c:pt>
                <c:pt idx="4">
                  <c:v>28479.897104000003</c:v>
                </c:pt>
              </c:numCache>
            </c:numRef>
          </c:val>
          <c:extLst>
            <c:ext xmlns:c16="http://schemas.microsoft.com/office/drawing/2014/chart" uri="{C3380CC4-5D6E-409C-BE32-E72D297353CC}">
              <c16:uniqueId val="{00000000-DDC6-43FD-8910-D159BCE4D84C}"/>
            </c:ext>
          </c:extLst>
        </c:ser>
        <c:dLbls>
          <c:showLegendKey val="0"/>
          <c:showVal val="0"/>
          <c:showCatName val="0"/>
          <c:showSerName val="0"/>
          <c:showPercent val="0"/>
          <c:showBubbleSize val="0"/>
        </c:dLbls>
        <c:gapWidth val="150"/>
        <c:axId val="447472704"/>
        <c:axId val="1"/>
      </c:barChart>
      <c:catAx>
        <c:axId val="44747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bg1">
                  <a:lumMod val="75000"/>
                </a:schemeClr>
              </a:solidFill>
              <a:round/>
            </a:ln>
            <a:effectLst/>
          </c:spPr>
        </c:majorGridlines>
        <c:title>
          <c:tx>
            <c:rich>
              <a:bodyPr/>
              <a:lstStyle/>
              <a:p>
                <a:pPr>
                  <a:defRPr/>
                </a:pPr>
                <a:r>
                  <a:rPr lang="es-ES"/>
                  <a:t>Toneladas</a:t>
                </a:r>
              </a:p>
            </c:rich>
          </c:tx>
          <c:layout>
            <c:manualLayout>
              <c:xMode val="edge"/>
              <c:yMode val="edge"/>
              <c:x val="0"/>
              <c:y val="0.3450293946901497"/>
            </c:manualLayout>
          </c:layout>
          <c:overlay val="0"/>
          <c:spPr>
            <a:noFill/>
            <a:ln w="25400">
              <a:noFill/>
            </a:ln>
          </c:spPr>
        </c:title>
        <c:numFmt formatCode="#,##0" sourceLinked="1"/>
        <c:majorTickMark val="none"/>
        <c:minorTickMark val="none"/>
        <c:tickLblPos val="nextTo"/>
        <c:spPr>
          <a:ln w="6350">
            <a:noFill/>
          </a:ln>
        </c:spPr>
        <c:txPr>
          <a:bodyPr rot="0" vert="horz"/>
          <a:lstStyle/>
          <a:p>
            <a:pPr>
              <a:defRPr/>
            </a:pPr>
            <a:endParaRPr lang="es-ES"/>
          </a:p>
        </c:txPr>
        <c:crossAx val="447472704"/>
        <c:crosses val="autoZero"/>
        <c:crossBetween val="between"/>
      </c:valAx>
      <c:spPr>
        <a:noFill/>
        <a:ln>
          <a:noFill/>
        </a:ln>
        <a:effectLst/>
      </c:spPr>
    </c:plotArea>
    <c:legend>
      <c:legendPos val="r"/>
      <c:layout>
        <c:manualLayout>
          <c:xMode val="edge"/>
          <c:yMode val="edge"/>
          <c:x val="0.21874051457853483"/>
          <c:y val="0.92467633961485152"/>
          <c:w val="0.51650186583819879"/>
          <c:h val="6.411070807160342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01281712445331"/>
          <c:y val="3.9800995024875621E-2"/>
          <c:w val="0.81110734341729673"/>
          <c:h val="0.8107018712213212"/>
        </c:manualLayout>
      </c:layout>
      <c:barChart>
        <c:barDir val="col"/>
        <c:grouping val="stacked"/>
        <c:varyColors val="0"/>
        <c:ser>
          <c:idx val="1"/>
          <c:order val="0"/>
          <c:tx>
            <c:v>RINZA</c:v>
          </c:tx>
          <c:spPr>
            <a:solidFill>
              <a:srgbClr val="BF8B2E"/>
            </a:solidFill>
            <a:ln>
              <a:noFill/>
            </a:ln>
            <a:effectLst/>
          </c:spPr>
          <c:invertIfNegative val="0"/>
          <c:dLbls>
            <c:numFmt formatCode="#,##0" sourceLinked="0"/>
            <c:spPr>
              <a:noFill/>
              <a:ln>
                <a:noFill/>
              </a:ln>
              <a:effectLst/>
            </c:spPr>
            <c:txPr>
              <a:bodyPr rot="-5400000" spcFirstLastPara="1" vertOverflow="ellipsis"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1.5-15'!$K$4:$O$4</c:f>
              <c:strCache>
                <c:ptCount val="5"/>
                <c:pt idx="0">
                  <c:v>2.018</c:v>
                </c:pt>
                <c:pt idx="1">
                  <c:v>2.019</c:v>
                </c:pt>
                <c:pt idx="2">
                  <c:v>2.020</c:v>
                </c:pt>
                <c:pt idx="3">
                  <c:v>2.021</c:v>
                </c:pt>
                <c:pt idx="4">
                  <c:v>2.022</c:v>
                </c:pt>
              </c:strCache>
            </c:strRef>
          </c:cat>
          <c:val>
            <c:numRef>
              <c:f>'Figura 1.5-15'!$K$5:$O$5</c:f>
              <c:numCache>
                <c:formatCode>#,##0</c:formatCode>
                <c:ptCount val="5"/>
                <c:pt idx="0">
                  <c:v>536654.19999999995</c:v>
                </c:pt>
                <c:pt idx="1">
                  <c:v>765957.57</c:v>
                </c:pt>
                <c:pt idx="2">
                  <c:v>774119.34</c:v>
                </c:pt>
                <c:pt idx="3">
                  <c:v>877780</c:v>
                </c:pt>
                <c:pt idx="4">
                  <c:v>814964.96</c:v>
                </c:pt>
              </c:numCache>
            </c:numRef>
          </c:val>
          <c:extLst>
            <c:ext xmlns:c16="http://schemas.microsoft.com/office/drawing/2014/chart" uri="{C3380CC4-5D6E-409C-BE32-E72D297353CC}">
              <c16:uniqueId val="{00000001-4F71-4285-8B2B-E71DDF2799D7}"/>
            </c:ext>
          </c:extLst>
        </c:ser>
        <c:ser>
          <c:idx val="2"/>
          <c:order val="1"/>
          <c:tx>
            <c:v>RINTE</c:v>
          </c:tx>
          <c:spPr>
            <a:solidFill>
              <a:srgbClr val="0070C0"/>
            </a:solidFill>
            <a:ln>
              <a:noFill/>
            </a:ln>
            <a:effectLst/>
          </c:spPr>
          <c:invertIfNegative val="0"/>
          <c:dLbls>
            <c:dLbl>
              <c:idx val="1"/>
              <c:layout>
                <c:manualLayout>
                  <c:x val="-4.146592007923608E-17"/>
                  <c:y val="-3.7240829970880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71-4285-8B2B-E71DDF2799D7}"/>
                </c:ext>
              </c:extLst>
            </c:dLbl>
            <c:dLbl>
              <c:idx val="2"/>
              <c:layout>
                <c:manualLayout>
                  <c:x val="0"/>
                  <c:y val="-3.79877515310586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71-4285-8B2B-E71DDF2799D7}"/>
                </c:ext>
              </c:extLst>
            </c:dLbl>
            <c:dLbl>
              <c:idx val="3"/>
              <c:layout>
                <c:manualLayout>
                  <c:x val="0"/>
                  <c:y val="-3.21252007678144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71-4285-8B2B-E71DDF2799D7}"/>
                </c:ext>
              </c:extLst>
            </c:dLbl>
            <c:dLbl>
              <c:idx val="4"/>
              <c:layout>
                <c:manualLayout>
                  <c:x val="-1.6586368031694432E-16"/>
                  <c:y val="-6.99627845026834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60-43E0-9C99-92E5AB294C45}"/>
                </c:ext>
              </c:extLst>
            </c:dLbl>
            <c:numFmt formatCode="#,##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1.5-15'!$K$4:$O$4</c:f>
              <c:strCache>
                <c:ptCount val="5"/>
                <c:pt idx="0">
                  <c:v>2.018</c:v>
                </c:pt>
                <c:pt idx="1">
                  <c:v>2.019</c:v>
                </c:pt>
                <c:pt idx="2">
                  <c:v>2.020</c:v>
                </c:pt>
                <c:pt idx="3">
                  <c:v>2.021</c:v>
                </c:pt>
                <c:pt idx="4">
                  <c:v>2.022</c:v>
                </c:pt>
              </c:strCache>
            </c:strRef>
          </c:cat>
          <c:val>
            <c:numRef>
              <c:f>'Figura 1.5-15'!$K$6:$O$6</c:f>
              <c:numCache>
                <c:formatCode>#,##0</c:formatCode>
                <c:ptCount val="5"/>
                <c:pt idx="0">
                  <c:v>30300.38</c:v>
                </c:pt>
                <c:pt idx="1">
                  <c:v>30801.99</c:v>
                </c:pt>
                <c:pt idx="2">
                  <c:v>37141.699999999997</c:v>
                </c:pt>
                <c:pt idx="3">
                  <c:v>43422</c:v>
                </c:pt>
                <c:pt idx="4">
                  <c:v>55775</c:v>
                </c:pt>
              </c:numCache>
            </c:numRef>
          </c:val>
          <c:extLst>
            <c:ext xmlns:c16="http://schemas.microsoft.com/office/drawing/2014/chart" uri="{C3380CC4-5D6E-409C-BE32-E72D297353CC}">
              <c16:uniqueId val="{00000002-4F71-4285-8B2B-E71DDF2799D7}"/>
            </c:ext>
          </c:extLst>
        </c:ser>
        <c:dLbls>
          <c:showLegendKey val="0"/>
          <c:showVal val="0"/>
          <c:showCatName val="0"/>
          <c:showSerName val="0"/>
          <c:showPercent val="0"/>
          <c:showBubbleSize val="0"/>
        </c:dLbls>
        <c:gapWidth val="90"/>
        <c:overlap val="100"/>
        <c:axId val="588088648"/>
        <c:axId val="588084384"/>
      </c:barChart>
      <c:catAx>
        <c:axId val="588088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crossAx val="588084384"/>
        <c:crosses val="autoZero"/>
        <c:auto val="1"/>
        <c:lblAlgn val="ctr"/>
        <c:lblOffset val="100"/>
        <c:noMultiLvlLbl val="0"/>
      </c:catAx>
      <c:valAx>
        <c:axId val="588084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ES"/>
                  <a:t>Toneladas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crossAx val="58808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703442745783657"/>
          <c:y val="5.128665440273359E-2"/>
          <c:w val="0.54904701186141369"/>
          <c:h val="0.90850570365693528"/>
        </c:manualLayout>
      </c:layout>
      <c:pieChart>
        <c:varyColors val="1"/>
        <c:ser>
          <c:idx val="0"/>
          <c:order val="0"/>
          <c:dPt>
            <c:idx val="0"/>
            <c:bubble3D val="0"/>
            <c:spPr>
              <a:solidFill>
                <a:schemeClr val="accent2">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0-1F26-4E10-8B4A-23C0FFEE0B5D}"/>
              </c:ext>
            </c:extLst>
          </c:dPt>
          <c:dPt>
            <c:idx val="1"/>
            <c:bubble3D val="0"/>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1F26-4E10-8B4A-23C0FFEE0B5D}"/>
              </c:ext>
            </c:extLst>
          </c:dPt>
          <c:dPt>
            <c:idx val="2"/>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2-1F26-4E10-8B4A-23C0FFEE0B5D}"/>
              </c:ext>
            </c:extLst>
          </c:dPt>
          <c:dPt>
            <c:idx val="3"/>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3-1F26-4E10-8B4A-23C0FFEE0B5D}"/>
              </c:ext>
            </c:extLst>
          </c:dPt>
          <c:dLbls>
            <c:numFmt formatCode="0.0%" sourceLinked="0"/>
            <c:spPr>
              <a:noFill/>
              <a:ln w="25400">
                <a:noFill/>
              </a:ln>
            </c:sp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1.5-16'!$A$4:$A$6</c:f>
              <c:strCache>
                <c:ptCount val="3"/>
                <c:pt idx="0">
                  <c:v>Tierras y piedras no contaminadas (170504)</c:v>
                </c:pt>
                <c:pt idx="1">
                  <c:v>Escombros entregados al Servicio Público</c:v>
                </c:pt>
                <c:pt idx="2">
                  <c:v>Escombros entregados a gestores privados</c:v>
                </c:pt>
              </c:strCache>
            </c:strRef>
          </c:cat>
          <c:val>
            <c:numRef>
              <c:f>'Figura 1.5-16'!$B$4:$B$6</c:f>
              <c:numCache>
                <c:formatCode>#,##0</c:formatCode>
                <c:ptCount val="3"/>
                <c:pt idx="0">
                  <c:v>224838.67000000004</c:v>
                </c:pt>
                <c:pt idx="1">
                  <c:v>237282.85000000003</c:v>
                </c:pt>
                <c:pt idx="2">
                  <c:v>239461.51999999996</c:v>
                </c:pt>
              </c:numCache>
            </c:numRef>
          </c:val>
          <c:extLst>
            <c:ext xmlns:c16="http://schemas.microsoft.com/office/drawing/2014/chart" uri="{C3380CC4-5D6E-409C-BE32-E72D297353CC}">
              <c16:uniqueId val="{00000004-1F26-4E10-8B4A-23C0FFEE0B5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3.2905586300877664E-2"/>
          <c:y val="0.31923530626087465"/>
          <c:w val="0.27691384152940818"/>
          <c:h val="0.39758972544162319"/>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83537813587254"/>
          <c:y val="6.7681895093062605E-2"/>
          <c:w val="0.83015686992614279"/>
          <c:h val="0.81196770454454614"/>
        </c:manualLayout>
      </c:layout>
      <c:barChart>
        <c:barDir val="col"/>
        <c:grouping val="stacked"/>
        <c:varyColors val="0"/>
        <c:ser>
          <c:idx val="0"/>
          <c:order val="0"/>
          <c:tx>
            <c:strRef>
              <c:f>'Figura 1.5-17'!$B$4</c:f>
              <c:strCache>
                <c:ptCount val="1"/>
                <c:pt idx="0">
                  <c:v>Bárboles</c:v>
                </c:pt>
              </c:strCache>
            </c:strRef>
          </c:tx>
          <c:spPr>
            <a:solidFill>
              <a:srgbClr val="5B9BD5"/>
            </a:solidFill>
            <a:ln w="25400">
              <a:no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1.5-17'!$K$3:$O$3</c:f>
              <c:strCache>
                <c:ptCount val="5"/>
                <c:pt idx="0">
                  <c:v>2018 (t)</c:v>
                </c:pt>
                <c:pt idx="1">
                  <c:v>2019 (t)</c:v>
                </c:pt>
                <c:pt idx="2">
                  <c:v>2020 (t)</c:v>
                </c:pt>
                <c:pt idx="3">
                  <c:v>2021 (t)</c:v>
                </c:pt>
                <c:pt idx="4">
                  <c:v>2022 (t)</c:v>
                </c:pt>
              </c:strCache>
            </c:strRef>
          </c:cat>
          <c:val>
            <c:numRef>
              <c:f>'Figura 1.5-17'!$K$4:$O$4</c:f>
              <c:numCache>
                <c:formatCode>#,##0</c:formatCode>
                <c:ptCount val="5"/>
                <c:pt idx="0">
                  <c:v>40901.289999999994</c:v>
                </c:pt>
                <c:pt idx="1">
                  <c:v>54695.969999999994</c:v>
                </c:pt>
                <c:pt idx="2">
                  <c:v>67058.28</c:v>
                </c:pt>
                <c:pt idx="3">
                  <c:v>78336.28</c:v>
                </c:pt>
                <c:pt idx="4">
                  <c:v>71286.820000000007</c:v>
                </c:pt>
              </c:numCache>
            </c:numRef>
          </c:val>
          <c:extLst>
            <c:ext xmlns:c16="http://schemas.microsoft.com/office/drawing/2014/chart" uri="{C3380CC4-5D6E-409C-BE32-E72D297353CC}">
              <c16:uniqueId val="{00000000-B937-452F-B56F-D21274B58DCC}"/>
            </c:ext>
          </c:extLst>
        </c:ser>
        <c:ser>
          <c:idx val="1"/>
          <c:order val="1"/>
          <c:tx>
            <c:strRef>
              <c:f>'Figura 1.5-17'!$B$5</c:f>
              <c:strCache>
                <c:ptCount val="1"/>
                <c:pt idx="0">
                  <c:v>Alfajarín</c:v>
                </c:pt>
              </c:strCache>
            </c:strRef>
          </c:tx>
          <c:spPr>
            <a:solidFill>
              <a:srgbClr val="BF8B2E"/>
            </a:solidFill>
            <a:ln w="25400">
              <a:no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1.5-17'!$K$3:$O$3</c:f>
              <c:strCache>
                <c:ptCount val="5"/>
                <c:pt idx="0">
                  <c:v>2018 (t)</c:v>
                </c:pt>
                <c:pt idx="1">
                  <c:v>2019 (t)</c:v>
                </c:pt>
                <c:pt idx="2">
                  <c:v>2020 (t)</c:v>
                </c:pt>
                <c:pt idx="3">
                  <c:v>2021 (t)</c:v>
                </c:pt>
                <c:pt idx="4">
                  <c:v>2022 (t)</c:v>
                </c:pt>
              </c:strCache>
            </c:strRef>
          </c:cat>
          <c:val>
            <c:numRef>
              <c:f>'Figura 1.5-17'!$K$5:$O$5</c:f>
              <c:numCache>
                <c:formatCode>#,##0</c:formatCode>
                <c:ptCount val="5"/>
                <c:pt idx="0">
                  <c:v>187640.88800000004</c:v>
                </c:pt>
                <c:pt idx="1">
                  <c:v>190689.71500000003</c:v>
                </c:pt>
                <c:pt idx="2">
                  <c:v>200932.228</c:v>
                </c:pt>
                <c:pt idx="3">
                  <c:v>177256.57199999999</c:v>
                </c:pt>
                <c:pt idx="4">
                  <c:v>165996.03000000003</c:v>
                </c:pt>
              </c:numCache>
            </c:numRef>
          </c:val>
          <c:extLst>
            <c:ext xmlns:c16="http://schemas.microsoft.com/office/drawing/2014/chart" uri="{C3380CC4-5D6E-409C-BE32-E72D297353CC}">
              <c16:uniqueId val="{00000001-B937-452F-B56F-D21274B58DCC}"/>
            </c:ext>
          </c:extLst>
        </c:ser>
        <c:dLbls>
          <c:showLegendKey val="0"/>
          <c:showVal val="0"/>
          <c:showCatName val="0"/>
          <c:showSerName val="0"/>
          <c:showPercent val="0"/>
          <c:showBubbleSize val="0"/>
        </c:dLbls>
        <c:gapWidth val="90"/>
        <c:overlap val="100"/>
        <c:axId val="449081648"/>
        <c:axId val="1"/>
      </c:barChart>
      <c:catAx>
        <c:axId val="44908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b="1"/>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75000"/>
                </a:schemeClr>
              </a:solidFill>
              <a:round/>
            </a:ln>
            <a:effectLst/>
          </c:spPr>
        </c:majorGridlines>
        <c:title>
          <c:tx>
            <c:rich>
              <a:bodyPr/>
              <a:lstStyle/>
              <a:p>
                <a:pPr>
                  <a:defRPr/>
                </a:pPr>
                <a:r>
                  <a:rPr lang="es-ES"/>
                  <a:t>Toneladas</a:t>
                </a:r>
              </a:p>
            </c:rich>
          </c:tx>
          <c:layout>
            <c:manualLayout>
              <c:xMode val="edge"/>
              <c:yMode val="edge"/>
              <c:x val="8.6497610463316969E-4"/>
              <c:y val="0.43328395831709149"/>
            </c:manualLayout>
          </c:layout>
          <c:overlay val="0"/>
          <c:spPr>
            <a:noFill/>
            <a:ln w="25400">
              <a:noFill/>
            </a:ln>
          </c:spPr>
        </c:title>
        <c:numFmt formatCode="#,##0" sourceLinked="1"/>
        <c:majorTickMark val="none"/>
        <c:minorTickMark val="none"/>
        <c:tickLblPos val="nextTo"/>
        <c:spPr>
          <a:ln w="6350">
            <a:noFill/>
          </a:ln>
        </c:spPr>
        <c:txPr>
          <a:bodyPr rot="0" vert="horz"/>
          <a:lstStyle/>
          <a:p>
            <a:pPr>
              <a:defRPr/>
            </a:pPr>
            <a:endParaRPr lang="es-ES"/>
          </a:p>
        </c:txPr>
        <c:crossAx val="449081648"/>
        <c:crosses val="autoZero"/>
        <c:crossBetween val="between"/>
      </c:valAx>
      <c:spPr>
        <a:noFill/>
        <a:ln>
          <a:noFill/>
        </a:ln>
        <a:effectLst/>
      </c:spPr>
    </c:plotArea>
    <c:legend>
      <c:legendPos val="b"/>
      <c:layout>
        <c:manualLayout>
          <c:xMode val="edge"/>
          <c:yMode val="edge"/>
          <c:x val="0.257197617739643"/>
          <c:y val="0.94416350240483882"/>
          <c:w val="0.52783109404990403"/>
          <c:h val="4.5685279187817285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04652989804831E-2"/>
          <c:y val="5.6223922713886119E-2"/>
          <c:w val="0.648443214004642"/>
          <c:h val="0.96637383562348822"/>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0-FDCB-47A6-B4C8-FAC001E3E5D3}"/>
              </c:ext>
            </c:extLst>
          </c:dPt>
          <c:dPt>
            <c:idx val="1"/>
            <c:bubble3D val="0"/>
            <c:spPr>
              <a:solidFill>
                <a:schemeClr val="accent2"/>
              </a:solidFill>
              <a:ln>
                <a:noFill/>
              </a:ln>
              <a:effectLst/>
            </c:spPr>
            <c:extLst>
              <c:ext xmlns:c16="http://schemas.microsoft.com/office/drawing/2014/chart" uri="{C3380CC4-5D6E-409C-BE32-E72D297353CC}">
                <c16:uniqueId val="{00000001-FDCB-47A6-B4C8-FAC001E3E5D3}"/>
              </c:ext>
            </c:extLst>
          </c:dPt>
          <c:dPt>
            <c:idx val="2"/>
            <c:bubble3D val="0"/>
            <c:spPr>
              <a:solidFill>
                <a:schemeClr val="accent3"/>
              </a:solidFill>
              <a:ln>
                <a:noFill/>
              </a:ln>
              <a:effectLst/>
            </c:spPr>
            <c:extLst>
              <c:ext xmlns:c16="http://schemas.microsoft.com/office/drawing/2014/chart" uri="{C3380CC4-5D6E-409C-BE32-E72D297353CC}">
                <c16:uniqueId val="{00000002-FDCB-47A6-B4C8-FAC001E3E5D3}"/>
              </c:ext>
            </c:extLst>
          </c:dPt>
          <c:dPt>
            <c:idx val="3"/>
            <c:bubble3D val="0"/>
            <c:spPr>
              <a:solidFill>
                <a:schemeClr val="accent4"/>
              </a:solidFill>
              <a:ln>
                <a:noFill/>
              </a:ln>
              <a:effectLst/>
            </c:spPr>
            <c:extLst>
              <c:ext xmlns:c16="http://schemas.microsoft.com/office/drawing/2014/chart" uri="{C3380CC4-5D6E-409C-BE32-E72D297353CC}">
                <c16:uniqueId val="{00000003-FDCB-47A6-B4C8-FAC001E3E5D3}"/>
              </c:ext>
            </c:extLst>
          </c:dPt>
          <c:dPt>
            <c:idx val="4"/>
            <c:bubble3D val="0"/>
            <c:spPr>
              <a:solidFill>
                <a:schemeClr val="accent5"/>
              </a:solidFill>
              <a:ln>
                <a:noFill/>
              </a:ln>
              <a:effectLst/>
            </c:spPr>
            <c:extLst>
              <c:ext xmlns:c16="http://schemas.microsoft.com/office/drawing/2014/chart" uri="{C3380CC4-5D6E-409C-BE32-E72D297353CC}">
                <c16:uniqueId val="{00000004-FDCB-47A6-B4C8-FAC001E3E5D3}"/>
              </c:ext>
            </c:extLst>
          </c:dPt>
          <c:dPt>
            <c:idx val="5"/>
            <c:bubble3D val="0"/>
            <c:spPr>
              <a:solidFill>
                <a:schemeClr val="accent6"/>
              </a:solidFill>
              <a:ln>
                <a:noFill/>
              </a:ln>
              <a:effectLst/>
            </c:spPr>
            <c:extLst>
              <c:ext xmlns:c16="http://schemas.microsoft.com/office/drawing/2014/chart" uri="{C3380CC4-5D6E-409C-BE32-E72D297353CC}">
                <c16:uniqueId val="{00000005-FDCB-47A6-B4C8-FAC001E3E5D3}"/>
              </c:ext>
            </c:extLst>
          </c:dPt>
          <c:dLbls>
            <c:dLbl>
              <c:idx val="0"/>
              <c:layout>
                <c:manualLayout>
                  <c:x val="0.13151927437641722"/>
                  <c:y val="-0.2869108967012926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CB-47A6-B4C8-FAC001E3E5D3}"/>
                </c:ext>
              </c:extLst>
            </c:dLbl>
            <c:dLbl>
              <c:idx val="1"/>
              <c:layout>
                <c:manualLayout>
                  <c:x val="-4.1398753727212668E-2"/>
                  <c:y val="4.3108819144085854E-2"/>
                </c:manualLayout>
              </c:layout>
              <c:spPr>
                <a:noFill/>
                <a:ln w="25400">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rgbClr val="000000"/>
                      </a:solidFill>
                      <a:latin typeface="Calibri"/>
                      <a:ea typeface="Calibri"/>
                      <a:cs typeface="Calibri"/>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14367622259696455"/>
                      <c:h val="0.14192810457516339"/>
                    </c:manualLayout>
                  </c15:layout>
                </c:ext>
                <c:ext xmlns:c16="http://schemas.microsoft.com/office/drawing/2014/chart" uri="{C3380CC4-5D6E-409C-BE32-E72D297353CC}">
                  <c16:uniqueId val="{00000001-FDCB-47A6-B4C8-FAC001E3E5D3}"/>
                </c:ext>
              </c:extLst>
            </c:dLbl>
            <c:dLbl>
              <c:idx val="2"/>
              <c:layout>
                <c:manualLayout>
                  <c:x val="-3.8479654328923085E-2"/>
                  <c:y val="-3.34538464382093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CB-47A6-B4C8-FAC001E3E5D3}"/>
                </c:ext>
              </c:extLst>
            </c:dLbl>
            <c:dLbl>
              <c:idx val="3"/>
              <c:layout>
                <c:manualLayout>
                  <c:x val="6.4161087006981435E-2"/>
                  <c:y val="-8.160043374859832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CB-47A6-B4C8-FAC001E3E5D3}"/>
                </c:ext>
              </c:extLst>
            </c:dLbl>
            <c:dLbl>
              <c:idx val="4"/>
              <c:layout>
                <c:manualLayout>
                  <c:x val="0.15482761083436"/>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CB-47A6-B4C8-FAC001E3E5D3}"/>
                </c:ext>
              </c:extLst>
            </c:dLbl>
            <c:dLbl>
              <c:idx val="5"/>
              <c:layout>
                <c:manualLayout>
                  <c:x val="0.2628678036250035"/>
                  <c:y val="3.450208429828624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CB-47A6-B4C8-FAC001E3E5D3}"/>
                </c:ext>
              </c:extLst>
            </c:dLbl>
            <c:dLbl>
              <c:idx val="6"/>
              <c:layout>
                <c:manualLayout>
                  <c:x val="9.1725257419745604E-2"/>
                  <c:y val="2.683793313714573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CB-47A6-B4C8-FAC001E3E5D3}"/>
                </c:ext>
              </c:extLst>
            </c:dLbl>
            <c:spPr>
              <a:noFill/>
              <a:ln w="25400">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0000"/>
                    </a:solidFill>
                    <a:latin typeface="Calibri"/>
                    <a:ea typeface="Calibri"/>
                    <a:cs typeface="Calibri"/>
                  </a:defRPr>
                </a:pPr>
                <a:endParaRPr lang="es-E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'Figura 1.5-18'!$A$4:$A$8</c:f>
              <c:strCache>
                <c:ptCount val="5"/>
                <c:pt idx="0">
                  <c:v>Residuos mezclados</c:v>
                </c:pt>
                <c:pt idx="1">
                  <c:v>Hormigón</c:v>
                </c:pt>
                <c:pt idx="2">
                  <c:v>Mezclas bituminosas</c:v>
                </c:pt>
                <c:pt idx="3">
                  <c:v>Mezclas de hormigón, ladrillos y tejas</c:v>
                </c:pt>
                <c:pt idx="4">
                  <c:v>Resto</c:v>
                </c:pt>
              </c:strCache>
            </c:strRef>
          </c:cat>
          <c:val>
            <c:numRef>
              <c:f>'Figura 1.5-18'!$C$4:$C$8</c:f>
              <c:numCache>
                <c:formatCode>0.0\ %</c:formatCode>
                <c:ptCount val="5"/>
                <c:pt idx="0">
                  <c:v>0.74796143084087185</c:v>
                </c:pt>
                <c:pt idx="1">
                  <c:v>0.14317107199277149</c:v>
                </c:pt>
                <c:pt idx="2">
                  <c:v>5.62497036764351E-2</c:v>
                </c:pt>
                <c:pt idx="3">
                  <c:v>4.1498911531111488E-2</c:v>
                </c:pt>
                <c:pt idx="4">
                  <c:v>1.1118881958810131E-2</c:v>
                </c:pt>
              </c:numCache>
            </c:numRef>
          </c:val>
          <c:extLst>
            <c:ext xmlns:c16="http://schemas.microsoft.com/office/drawing/2014/chart" uri="{C3380CC4-5D6E-409C-BE32-E72D297353CC}">
              <c16:uniqueId val="{00000007-FDCB-47A6-B4C8-FAC001E3E5D3}"/>
            </c:ext>
          </c:extLst>
        </c:ser>
        <c:dLbls>
          <c:showLegendKey val="0"/>
          <c:showVal val="0"/>
          <c:showCatName val="0"/>
          <c:showSerName val="0"/>
          <c:showPercent val="0"/>
          <c:showBubbleSize val="0"/>
          <c:showLeaderLines val="1"/>
        </c:dLbls>
        <c:firstSliceAng val="91"/>
      </c:pie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1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80886426592797"/>
          <c:y val="5.1229508196721313E-2"/>
          <c:w val="0.80563250230840255"/>
          <c:h val="0.78825136612021862"/>
        </c:manualLayout>
      </c:layout>
      <c:barChart>
        <c:barDir val="col"/>
        <c:grouping val="stacked"/>
        <c:varyColors val="0"/>
        <c:ser>
          <c:idx val="0"/>
          <c:order val="0"/>
          <c:spPr>
            <a:solidFill>
              <a:srgbClr val="BF8B2E"/>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4"/>
              <c:pt idx="0">
                <c:v>Enviados a vertedero</c:v>
              </c:pt>
              <c:pt idx="1">
                <c:v>Enviados a valorización</c:v>
              </c:pt>
              <c:pt idx="2">
                <c:v>Gestión intermedia</c:v>
              </c:pt>
              <c:pt idx="3">
                <c:v>Tratamiento Físico-Químico</c:v>
              </c:pt>
            </c:strLit>
          </c:cat>
          <c:val>
            <c:numRef>
              <c:f>'Figura 1.5-19'!$B$4:$E$4</c:f>
              <c:numCache>
                <c:formatCode>#,##0</c:formatCode>
                <c:ptCount val="4"/>
                <c:pt idx="0">
                  <c:v>51994.29752</c:v>
                </c:pt>
                <c:pt idx="1">
                  <c:v>54953.023419999998</c:v>
                </c:pt>
                <c:pt idx="2">
                  <c:v>93019.206137999921</c:v>
                </c:pt>
                <c:pt idx="3">
                  <c:v>2119.3588250000003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934-49C4-A36E-F1E0FCAEE55D}"/>
            </c:ext>
          </c:extLst>
        </c:ser>
        <c:dLbls>
          <c:showLegendKey val="0"/>
          <c:showVal val="0"/>
          <c:showCatName val="0"/>
          <c:showSerName val="0"/>
          <c:showPercent val="0"/>
          <c:showBubbleSize val="0"/>
        </c:dLbls>
        <c:gapWidth val="150"/>
        <c:overlap val="100"/>
        <c:axId val="450155600"/>
        <c:axId val="1"/>
      </c:barChart>
      <c:catAx>
        <c:axId val="450155600"/>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a:pPr>
            <a:endParaRPr lang="es-ES"/>
          </a:p>
        </c:txPr>
        <c:crossAx val="1"/>
        <c:crosses val="autoZero"/>
        <c:auto val="1"/>
        <c:lblAlgn val="ctr"/>
        <c:lblOffset val="100"/>
        <c:tickLblSkip val="1"/>
        <c:tickMarkSkip val="1"/>
        <c:noMultiLvlLbl val="0"/>
      </c:catAx>
      <c:valAx>
        <c:axId val="1"/>
        <c:scaling>
          <c:orientation val="minMax"/>
          <c:max val="65000"/>
          <c:min val="0"/>
        </c:scaling>
        <c:delete val="0"/>
        <c:axPos val="l"/>
        <c:majorGridlines>
          <c:spPr>
            <a:ln w="3175">
              <a:solidFill>
                <a:schemeClr val="bg1">
                  <a:lumMod val="65000"/>
                </a:schemeClr>
              </a:solidFill>
              <a:prstDash val="solid"/>
            </a:ln>
          </c:spPr>
        </c:majorGridlines>
        <c:title>
          <c:tx>
            <c:rich>
              <a:bodyPr/>
              <a:lstStyle/>
              <a:p>
                <a:pPr>
                  <a:defRPr/>
                </a:pPr>
                <a:r>
                  <a:rPr lang="es-ES"/>
                  <a:t>toneladas</a:t>
                </a:r>
              </a:p>
            </c:rich>
          </c:tx>
          <c:layout>
            <c:manualLayout>
              <c:xMode val="edge"/>
              <c:yMode val="edge"/>
              <c:x val="2.6315789473684209E-2"/>
              <c:y val="0.36270491803278687"/>
            </c:manualLayout>
          </c:layout>
          <c:overlay val="0"/>
          <c:spPr>
            <a:noFill/>
            <a:ln w="25400">
              <a:noFill/>
            </a:ln>
          </c:spPr>
        </c:title>
        <c:numFmt formatCode="#,##0" sourceLinked="0"/>
        <c:majorTickMark val="out"/>
        <c:minorTickMark val="none"/>
        <c:tickLblPos val="nextTo"/>
        <c:spPr>
          <a:ln w="3175">
            <a:noFill/>
            <a:prstDash val="solid"/>
          </a:ln>
        </c:spPr>
        <c:txPr>
          <a:bodyPr rot="0" vert="horz"/>
          <a:lstStyle/>
          <a:p>
            <a:pPr>
              <a:defRPr/>
            </a:pPr>
            <a:endParaRPr lang="es-ES"/>
          </a:p>
        </c:txPr>
        <c:crossAx val="450155600"/>
        <c:crossesAt val="1"/>
        <c:crossBetween val="between"/>
        <c:majorUnit val="5000"/>
      </c:valAx>
      <c:spPr>
        <a:noFill/>
        <a:ln w="12700">
          <a:noFill/>
          <a:prstDash val="solid"/>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02937760359015E-2"/>
          <c:y val="4.8807534457874766E-2"/>
          <c:w val="0.45388180333001743"/>
          <c:h val="0.897945786253743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D2D7-42C0-B2DA-F6952BC312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B34-49E2-90EA-612E40B982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B34-49E2-90EA-612E40B982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D2D7-42C0-B2DA-F6952BC3127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D2D7-42C0-B2DA-F6952BC3127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B34-49E2-90EA-612E40B9822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B34-49E2-90EA-612E40B9822E}"/>
              </c:ext>
            </c:extLst>
          </c:dPt>
          <c:dLbls>
            <c:dLbl>
              <c:idx val="0"/>
              <c:layout>
                <c:manualLayout>
                  <c:x val="-9.7917462858768678E-2"/>
                  <c:y val="0.1443951866058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D7-42C0-B2DA-F6952BC3127E}"/>
                </c:ext>
              </c:extLst>
            </c:dLbl>
            <c:dLbl>
              <c:idx val="3"/>
              <c:layout>
                <c:manualLayout>
                  <c:x val="7.4423623178010642E-2"/>
                  <c:y val="-0.16647505906892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D7-42C0-B2DA-F6952BC3127E}"/>
                </c:ext>
              </c:extLst>
            </c:dLbl>
            <c:dLbl>
              <c:idx val="4"/>
              <c:layout>
                <c:manualLayout>
                  <c:x val="6.4743623856713478E-2"/>
                  <c:y val="7.82229466227857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D7-42C0-B2DA-F6952BC3127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1.5-26'!$V$6:$V$12</c:f>
              <c:strCache>
                <c:ptCount val="7"/>
                <c:pt idx="0">
                  <c:v>Aparatos de intercambio de temperatura</c:v>
                </c:pt>
                <c:pt idx="1">
                  <c:v>Pequeños electrodomésticos</c:v>
                </c:pt>
                <c:pt idx="2">
                  <c:v>Lámparas</c:v>
                </c:pt>
                <c:pt idx="3">
                  <c:v>Grandes aparatos</c:v>
                </c:pt>
                <c:pt idx="4">
                  <c:v>Pequeños aparatos</c:v>
                </c:pt>
                <c:pt idx="5">
                  <c:v>Aparatos de informática y telecomunicaciones</c:v>
                </c:pt>
                <c:pt idx="6">
                  <c:v>Paneles fotovoltaicos</c:v>
                </c:pt>
              </c:strCache>
            </c:strRef>
          </c:cat>
          <c:val>
            <c:numRef>
              <c:f>'Tabla 1.5-26'!$S$6:$S$12</c:f>
              <c:numCache>
                <c:formatCode>0.00%</c:formatCode>
                <c:ptCount val="7"/>
                <c:pt idx="0">
                  <c:v>1.1564586711543507</c:v>
                </c:pt>
                <c:pt idx="1">
                  <c:v>0.65925222422956586</c:v>
                </c:pt>
                <c:pt idx="2">
                  <c:v>0.93010695367119678</c:v>
                </c:pt>
                <c:pt idx="3">
                  <c:v>0.95977475917086486</c:v>
                </c:pt>
                <c:pt idx="4">
                  <c:v>1.0563018217620286</c:v>
                </c:pt>
                <c:pt idx="5">
                  <c:v>0.62828969830580095</c:v>
                </c:pt>
                <c:pt idx="6">
                  <c:v>5.6132516216680702E-2</c:v>
                </c:pt>
              </c:numCache>
            </c:numRef>
          </c:val>
          <c:extLst>
            <c:ext xmlns:c16="http://schemas.microsoft.com/office/drawing/2014/chart" uri="{C3380CC4-5D6E-409C-BE32-E72D297353CC}">
              <c16:uniqueId val="{00000000-D2D7-42C0-B2DA-F6952BC3127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400149975466237"/>
          <c:y val="0.10010715297650845"/>
          <c:w val="0.46068750007534942"/>
          <c:h val="0.8308446847826352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64301718382761"/>
          <c:y val="6.9012235009085404E-2"/>
          <c:w val="0.51697623162958284"/>
          <c:h val="0.8265859525219514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5B-4708-9727-1232288A2C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5B-4708-9727-1232288A2C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5B-4708-9727-1232288A2C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5B-4708-9727-1232288A2CD7}"/>
              </c:ext>
            </c:extLst>
          </c:dPt>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1.5-27'!$B$4:$D$4</c:f>
              <c:strCache>
                <c:ptCount val="3"/>
                <c:pt idx="0">
                  <c:v>Preparación para la reutilización</c:v>
                </c:pt>
                <c:pt idx="1">
                  <c:v>Valorización (incluye reciclado y valorización energética)</c:v>
                </c:pt>
                <c:pt idx="2">
                  <c:v>Eliminación</c:v>
                </c:pt>
              </c:strCache>
            </c:strRef>
          </c:cat>
          <c:val>
            <c:numRef>
              <c:f>'Tabla 1.5-27'!$B$12:$D$12</c:f>
              <c:numCache>
                <c:formatCode>#,##0</c:formatCode>
                <c:ptCount val="3"/>
                <c:pt idx="0">
                  <c:v>367.80349500050113</c:v>
                </c:pt>
                <c:pt idx="1">
                  <c:v>10408.931323554996</c:v>
                </c:pt>
                <c:pt idx="2">
                  <c:v>1044.0980411860633</c:v>
                </c:pt>
              </c:numCache>
            </c:numRef>
          </c:val>
          <c:extLst>
            <c:ext xmlns:c16="http://schemas.microsoft.com/office/drawing/2014/chart" uri="{C3380CC4-5D6E-409C-BE32-E72D297353CC}">
              <c16:uniqueId val="{00000008-DB5B-4708-9727-1232288A2CD7}"/>
            </c:ext>
          </c:extLst>
        </c:ser>
        <c:dLbls>
          <c:dLblPos val="ctr"/>
          <c:showLegendKey val="0"/>
          <c:showVal val="1"/>
          <c:showCatName val="0"/>
          <c:showSerName val="0"/>
          <c:showPercent val="0"/>
          <c:showBubbleSize val="0"/>
          <c:showLeaderLines val="1"/>
        </c:dLbls>
        <c:firstSliceAng val="60"/>
      </c:pieChart>
      <c:spPr>
        <a:noFill/>
        <a:ln>
          <a:noFill/>
        </a:ln>
        <a:effectLst/>
      </c:spPr>
    </c:plotArea>
    <c:legend>
      <c:legendPos val="r"/>
      <c:layout>
        <c:manualLayout>
          <c:xMode val="edge"/>
          <c:yMode val="edge"/>
          <c:x val="0.60648486012419189"/>
          <c:y val="0.40602656975570361"/>
          <c:w val="0.36200334714258281"/>
          <c:h val="0.56476317383403996"/>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23886174533584"/>
          <c:y val="6.6739573755904141E-2"/>
          <c:w val="0.7369468529268447"/>
          <c:h val="0.69996248578562958"/>
        </c:manualLayout>
      </c:layout>
      <c:barChart>
        <c:barDir val="col"/>
        <c:grouping val="stacked"/>
        <c:varyColors val="0"/>
        <c:ser>
          <c:idx val="1"/>
          <c:order val="0"/>
          <c:tx>
            <c:strRef>
              <c:f>'Figura 1.5-21'!$A$4</c:f>
              <c:strCache>
                <c:ptCount val="1"/>
                <c:pt idx="0">
                  <c:v>RAEE uso doméstico recogidos por los SCRAP</c:v>
                </c:pt>
              </c:strCache>
            </c:strRef>
          </c:tx>
          <c:spPr>
            <a:solidFill>
              <a:srgbClr val="BF8B2E"/>
            </a:solidFill>
            <a:ln w="25400">
              <a:noFill/>
            </a:ln>
          </c:spPr>
          <c:invertIfNegative val="0"/>
          <c:cat>
            <c:strRef>
              <c:f>'Figura 1.5-21'!$H$3:$L$3</c:f>
              <c:strCache>
                <c:ptCount val="5"/>
                <c:pt idx="0">
                  <c:v>2.018</c:v>
                </c:pt>
                <c:pt idx="1">
                  <c:v>2.019</c:v>
                </c:pt>
                <c:pt idx="2">
                  <c:v>2.020</c:v>
                </c:pt>
                <c:pt idx="3">
                  <c:v>2.021</c:v>
                </c:pt>
                <c:pt idx="4">
                  <c:v>2.022</c:v>
                </c:pt>
              </c:strCache>
            </c:strRef>
          </c:cat>
          <c:val>
            <c:numRef>
              <c:f>'Figura 1.5-21'!$H$4:$L$4</c:f>
              <c:numCache>
                <c:formatCode>#,##0</c:formatCode>
                <c:ptCount val="5"/>
                <c:pt idx="0">
                  <c:v>7967.6015427372158</c:v>
                </c:pt>
                <c:pt idx="1">
                  <c:v>8276.4680618675466</c:v>
                </c:pt>
                <c:pt idx="2">
                  <c:v>8612.6889641590606</c:v>
                </c:pt>
                <c:pt idx="3">
                  <c:v>9723.6919468071155</c:v>
                </c:pt>
                <c:pt idx="4">
                  <c:v>11105.193039389895</c:v>
                </c:pt>
              </c:numCache>
            </c:numRef>
          </c:val>
          <c:extLst>
            <c:ext xmlns:c16="http://schemas.microsoft.com/office/drawing/2014/chart" uri="{C3380CC4-5D6E-409C-BE32-E72D297353CC}">
              <c16:uniqueId val="{00000000-0A47-4650-BBBE-D58979C7AE27}"/>
            </c:ext>
          </c:extLst>
        </c:ser>
        <c:ser>
          <c:idx val="0"/>
          <c:order val="1"/>
          <c:tx>
            <c:strRef>
              <c:f>'Figura 1.5-21'!$A$5</c:f>
              <c:strCache>
                <c:ptCount val="1"/>
                <c:pt idx="0">
                  <c:v>RAEE uso profesional recogidos por los SCRAP</c:v>
                </c:pt>
              </c:strCache>
            </c:strRef>
          </c:tx>
          <c:spPr>
            <a:solidFill>
              <a:srgbClr val="5B9BD5"/>
            </a:solidFill>
            <a:ln w="25400">
              <a:noFill/>
            </a:ln>
          </c:spPr>
          <c:invertIfNegative val="0"/>
          <c:cat>
            <c:strRef>
              <c:f>'Figura 1.5-21'!$H$3:$L$3</c:f>
              <c:strCache>
                <c:ptCount val="5"/>
                <c:pt idx="0">
                  <c:v>2.018</c:v>
                </c:pt>
                <c:pt idx="1">
                  <c:v>2.019</c:v>
                </c:pt>
                <c:pt idx="2">
                  <c:v>2.020</c:v>
                </c:pt>
                <c:pt idx="3">
                  <c:v>2.021</c:v>
                </c:pt>
                <c:pt idx="4">
                  <c:v>2.022</c:v>
                </c:pt>
              </c:strCache>
            </c:strRef>
          </c:cat>
          <c:val>
            <c:numRef>
              <c:f>'Figura 1.5-21'!$H$5:$L$5</c:f>
              <c:numCache>
                <c:formatCode>#,##0</c:formatCode>
                <c:ptCount val="5"/>
                <c:pt idx="0">
                  <c:v>2375.9445836189616</c:v>
                </c:pt>
                <c:pt idx="1">
                  <c:v>1990.6790683087886</c:v>
                </c:pt>
                <c:pt idx="2">
                  <c:v>3533.9571336434255</c:v>
                </c:pt>
                <c:pt idx="3">
                  <c:v>2519.5974047182322</c:v>
                </c:pt>
                <c:pt idx="4">
                  <c:v>3732.512532556314</c:v>
                </c:pt>
              </c:numCache>
            </c:numRef>
          </c:val>
          <c:extLst>
            <c:ext xmlns:c16="http://schemas.microsoft.com/office/drawing/2014/chart" uri="{C3380CC4-5D6E-409C-BE32-E72D297353CC}">
              <c16:uniqueId val="{00000001-0A47-4650-BBBE-D58979C7AE27}"/>
            </c:ext>
          </c:extLst>
        </c:ser>
        <c:dLbls>
          <c:showLegendKey val="0"/>
          <c:showVal val="0"/>
          <c:showCatName val="0"/>
          <c:showSerName val="0"/>
          <c:showPercent val="0"/>
          <c:showBubbleSize val="0"/>
        </c:dLbls>
        <c:gapWidth val="90"/>
        <c:overlap val="100"/>
        <c:axId val="450445368"/>
        <c:axId val="1"/>
      </c:barChart>
      <c:lineChart>
        <c:grouping val="standard"/>
        <c:varyColors val="0"/>
        <c:ser>
          <c:idx val="2"/>
          <c:order val="2"/>
          <c:tx>
            <c:strRef>
              <c:f>'Figura 1.5-21'!$A$7</c:f>
              <c:strCache>
                <c:ptCount val="1"/>
                <c:pt idx="0">
                  <c:v>kg RAEE uso doméstico/habitante año</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3.4208391460317962E-2"/>
                  <c:y val="-7.2350795865174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F1-4199-879E-988B4517AE14}"/>
                </c:ext>
              </c:extLst>
            </c:dLbl>
            <c:dLbl>
              <c:idx val="4"/>
              <c:layout>
                <c:manualLayout>
                  <c:x val="-3.2087598437359623E-2"/>
                  <c:y val="-3.6902096274202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F1-4199-879E-988B4517AE14}"/>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1.5-21'!$H$3:$L$3</c:f>
              <c:strCache>
                <c:ptCount val="5"/>
                <c:pt idx="0">
                  <c:v>2.018</c:v>
                </c:pt>
                <c:pt idx="1">
                  <c:v>2.019</c:v>
                </c:pt>
                <c:pt idx="2">
                  <c:v>2.020</c:v>
                </c:pt>
                <c:pt idx="3">
                  <c:v>2.021</c:v>
                </c:pt>
                <c:pt idx="4">
                  <c:v>2.022</c:v>
                </c:pt>
              </c:strCache>
            </c:strRef>
          </c:cat>
          <c:val>
            <c:numRef>
              <c:f>'Figura 1.5-21'!$H$7:$L$7</c:f>
              <c:numCache>
                <c:formatCode>#,##0</c:formatCode>
                <c:ptCount val="5"/>
                <c:pt idx="0">
                  <c:v>6.0880500323498969</c:v>
                </c:pt>
                <c:pt idx="1">
                  <c:v>6.2734211495928847</c:v>
                </c:pt>
                <c:pt idx="2">
                  <c:v>6.4786725381464594</c:v>
                </c:pt>
                <c:pt idx="3">
                  <c:v>7.3316579065561882</c:v>
                </c:pt>
                <c:pt idx="4">
                  <c:v>8.3729679897987239</c:v>
                </c:pt>
              </c:numCache>
            </c:numRef>
          </c:val>
          <c:smooth val="0"/>
          <c:extLst>
            <c:ext xmlns:c16="http://schemas.microsoft.com/office/drawing/2014/chart" uri="{C3380CC4-5D6E-409C-BE32-E72D297353CC}">
              <c16:uniqueId val="{00000002-0A47-4650-BBBE-D58979C7AE27}"/>
            </c:ext>
          </c:extLst>
        </c:ser>
        <c:dLbls>
          <c:showLegendKey val="0"/>
          <c:showVal val="0"/>
          <c:showCatName val="0"/>
          <c:showSerName val="0"/>
          <c:showPercent val="0"/>
          <c:showBubbleSize val="0"/>
        </c:dLbls>
        <c:marker val="1"/>
        <c:smooth val="0"/>
        <c:axId val="3"/>
        <c:axId val="4"/>
      </c:lineChart>
      <c:catAx>
        <c:axId val="450445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ES"/>
                  <a:t>toneladas</a:t>
                </a:r>
              </a:p>
            </c:rich>
          </c:tx>
          <c:overlay val="0"/>
          <c:spPr>
            <a:noFill/>
            <a:ln w="25400">
              <a:noFill/>
            </a:ln>
          </c:spPr>
        </c:title>
        <c:numFmt formatCode="#,##0" sourceLinked="1"/>
        <c:majorTickMark val="none"/>
        <c:minorTickMark val="none"/>
        <c:tickLblPos val="nextTo"/>
        <c:spPr>
          <a:ln w="6350">
            <a:noFill/>
          </a:ln>
        </c:spPr>
        <c:txPr>
          <a:bodyPr rot="0" vert="horz"/>
          <a:lstStyle/>
          <a:p>
            <a:pPr>
              <a:defRPr/>
            </a:pPr>
            <a:endParaRPr lang="es-ES"/>
          </a:p>
        </c:txPr>
        <c:crossAx val="450445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a:pPr>
                <a:r>
                  <a:rPr lang="es-ES"/>
                  <a:t>Kg/habitante</a:t>
                </a:r>
              </a:p>
            </c:rich>
          </c:tx>
          <c:overlay val="0"/>
          <c:spPr>
            <a:noFill/>
            <a:ln w="25400">
              <a:noFill/>
            </a:ln>
          </c:spPr>
        </c:title>
        <c:numFmt formatCode="0" sourceLinked="0"/>
        <c:majorTickMark val="out"/>
        <c:minorTickMark val="none"/>
        <c:tickLblPos val="nextTo"/>
        <c:spPr>
          <a:ln w="6350">
            <a:noFill/>
          </a:ln>
        </c:spPr>
        <c:txPr>
          <a:bodyPr rot="0" vert="horz"/>
          <a:lstStyle/>
          <a:p>
            <a:pPr>
              <a:defRPr/>
            </a:pPr>
            <a:endParaRPr lang="es-ES"/>
          </a:p>
        </c:txPr>
        <c:crossAx val="3"/>
        <c:crosses val="max"/>
        <c:crossBetween val="between"/>
      </c:valAx>
      <c:spPr>
        <a:noFill/>
        <a:ln w="25400">
          <a:noFill/>
        </a:ln>
      </c:spPr>
    </c:plotArea>
    <c:legend>
      <c:legendPos val="b"/>
      <c:layout>
        <c:manualLayout>
          <c:xMode val="edge"/>
          <c:yMode val="edge"/>
          <c:x val="4.4453658668549438E-2"/>
          <c:y val="0.8551493562571979"/>
          <c:w val="0.93800270726744006"/>
          <c:h val="0.12917227007331458"/>
        </c:manualLayout>
      </c:layout>
      <c:overlay val="0"/>
      <c:spPr>
        <a:noFill/>
        <a:ln w="25400">
          <a:noFill/>
        </a:ln>
      </c:sp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5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57391971673062"/>
          <c:y val="7.4556513728613924E-2"/>
          <c:w val="0.8507469103173203"/>
          <c:h val="0.72622452477003119"/>
        </c:manualLayout>
      </c:layout>
      <c:lineChart>
        <c:grouping val="standard"/>
        <c:varyColors val="0"/>
        <c:ser>
          <c:idx val="0"/>
          <c:order val="0"/>
          <c:tx>
            <c:v>ECOEMBES</c:v>
          </c:tx>
          <c:spPr>
            <a:ln w="28575" cap="rnd">
              <a:solidFill>
                <a:schemeClr val="accent1"/>
              </a:solidFill>
              <a:round/>
            </a:ln>
            <a:effectLst/>
          </c:spPr>
          <c:marker>
            <c:symbol val="square"/>
            <c:size val="7"/>
            <c:spPr>
              <a:solidFill>
                <a:schemeClr val="accent1"/>
              </a:solidFill>
              <a:ln w="9525">
                <a:solidFill>
                  <a:schemeClr val="accent1"/>
                </a:solidFill>
              </a:ln>
              <a:effectLst/>
            </c:spPr>
          </c:marker>
          <c:cat>
            <c:numLit>
              <c:formatCode>General</c:formatCode>
              <c:ptCount val="5"/>
              <c:pt idx="0">
                <c:v>2018</c:v>
              </c:pt>
              <c:pt idx="1">
                <c:v>2019</c:v>
              </c:pt>
              <c:pt idx="2">
                <c:v>2020</c:v>
              </c:pt>
              <c:pt idx="3">
                <c:v>2021</c:v>
              </c:pt>
              <c:pt idx="4">
                <c:v>2022</c:v>
              </c:pt>
            </c:numLit>
          </c:cat>
          <c:val>
            <c:numLit>
              <c:formatCode>General</c:formatCode>
              <c:ptCount val="5"/>
              <c:pt idx="0">
                <c:v>4.01</c:v>
              </c:pt>
              <c:pt idx="1">
                <c:v>3.97</c:v>
              </c:pt>
              <c:pt idx="2">
                <c:v>4.04</c:v>
              </c:pt>
              <c:pt idx="3">
                <c:v>3.97</c:v>
              </c:pt>
              <c:pt idx="4">
                <c:v>3.81</c:v>
              </c:pt>
            </c:numLit>
          </c:val>
          <c:smooth val="0"/>
          <c:extLst>
            <c:ext xmlns:c16="http://schemas.microsoft.com/office/drawing/2014/chart" uri="{C3380CC4-5D6E-409C-BE32-E72D297353CC}">
              <c16:uniqueId val="{00000000-A72C-4622-99C9-826F447F9DF0}"/>
            </c:ext>
          </c:extLst>
        </c:ser>
        <c:ser>
          <c:idx val="1"/>
          <c:order val="1"/>
          <c:tx>
            <c:v>ECOVIDRIO</c:v>
          </c:tx>
          <c:spPr>
            <a:ln w="28575" cap="rnd">
              <a:solidFill>
                <a:schemeClr val="accent2"/>
              </a:solidFill>
              <a:round/>
            </a:ln>
            <a:effectLst/>
          </c:spPr>
          <c:marker>
            <c:symbol val="square"/>
            <c:size val="7"/>
            <c:spPr>
              <a:solidFill>
                <a:schemeClr val="accent2"/>
              </a:solidFill>
              <a:ln w="9525">
                <a:solidFill>
                  <a:schemeClr val="accent2"/>
                </a:solidFill>
              </a:ln>
              <a:effectLst/>
            </c:spPr>
          </c:marker>
          <c:dPt>
            <c:idx val="4"/>
            <c:marker>
              <c:symbol val="square"/>
              <c:size val="7"/>
              <c:spPr>
                <a:solidFill>
                  <a:schemeClr val="accent2"/>
                </a:solidFill>
                <a:ln w="9525">
                  <a:solidFill>
                    <a:schemeClr val="accent2"/>
                  </a:solidFill>
                </a:ln>
                <a:effectLst/>
              </c:spPr>
            </c:marker>
            <c:bubble3D val="0"/>
            <c:spPr>
              <a:ln w="38100" cap="rnd">
                <a:solidFill>
                  <a:schemeClr val="accent2"/>
                </a:solidFill>
                <a:round/>
              </a:ln>
              <a:effectLst/>
            </c:spPr>
            <c:extLst>
              <c:ext xmlns:c16="http://schemas.microsoft.com/office/drawing/2014/chart" uri="{C3380CC4-5D6E-409C-BE32-E72D297353CC}">
                <c16:uniqueId val="{00000002-A72C-4622-99C9-826F447F9DF0}"/>
              </c:ext>
            </c:extLst>
          </c:dPt>
          <c:cat>
            <c:numLit>
              <c:formatCode>General</c:formatCode>
              <c:ptCount val="5"/>
              <c:pt idx="0">
                <c:v>2018</c:v>
              </c:pt>
              <c:pt idx="1">
                <c:v>2019</c:v>
              </c:pt>
              <c:pt idx="2">
                <c:v>2020</c:v>
              </c:pt>
              <c:pt idx="3">
                <c:v>2021</c:v>
              </c:pt>
              <c:pt idx="4">
                <c:v>2022</c:v>
              </c:pt>
            </c:numLit>
          </c:cat>
          <c:val>
            <c:numLit>
              <c:formatCode>General</c:formatCode>
              <c:ptCount val="5"/>
              <c:pt idx="0">
                <c:v>16.239999999999998</c:v>
              </c:pt>
              <c:pt idx="1">
                <c:v>16.600000000000001</c:v>
              </c:pt>
              <c:pt idx="2">
                <c:v>29.25</c:v>
              </c:pt>
              <c:pt idx="3">
                <c:v>30.56</c:v>
              </c:pt>
              <c:pt idx="4">
                <c:v>27.05</c:v>
              </c:pt>
            </c:numLit>
          </c:val>
          <c:smooth val="0"/>
          <c:extLst>
            <c:ext xmlns:c16="http://schemas.microsoft.com/office/drawing/2014/chart" uri="{C3380CC4-5D6E-409C-BE32-E72D297353CC}">
              <c16:uniqueId val="{00000003-A72C-4622-99C9-826F447F9DF0}"/>
            </c:ext>
          </c:extLst>
        </c:ser>
        <c:ser>
          <c:idx val="2"/>
          <c:order val="2"/>
          <c:tx>
            <c:v>SIGRE</c:v>
          </c:tx>
          <c:spPr>
            <a:ln w="28575" cap="rnd">
              <a:solidFill>
                <a:srgbClr val="00B050"/>
              </a:solidFill>
              <a:round/>
            </a:ln>
            <a:effectLst/>
          </c:spPr>
          <c:marker>
            <c:symbol val="circle"/>
            <c:size val="5"/>
            <c:spPr>
              <a:solidFill>
                <a:schemeClr val="accent6"/>
              </a:solidFill>
              <a:ln w="9525">
                <a:solidFill>
                  <a:schemeClr val="accent6"/>
                </a:solidFill>
              </a:ln>
              <a:effectLst/>
            </c:spPr>
          </c:marker>
          <c:cat>
            <c:numLit>
              <c:formatCode>General</c:formatCode>
              <c:ptCount val="5"/>
              <c:pt idx="0">
                <c:v>2018</c:v>
              </c:pt>
              <c:pt idx="1">
                <c:v>2019</c:v>
              </c:pt>
              <c:pt idx="2">
                <c:v>2020</c:v>
              </c:pt>
              <c:pt idx="3">
                <c:v>2021</c:v>
              </c:pt>
              <c:pt idx="4">
                <c:v>2022</c:v>
              </c:pt>
            </c:numLit>
          </c:cat>
          <c:val>
            <c:numLit>
              <c:formatCode>General</c:formatCode>
              <c:ptCount val="5"/>
              <c:pt idx="0">
                <c:v>0</c:v>
              </c:pt>
              <c:pt idx="1">
                <c:v>0</c:v>
              </c:pt>
              <c:pt idx="2">
                <c:v>52.9</c:v>
              </c:pt>
              <c:pt idx="3">
                <c:v>52.3</c:v>
              </c:pt>
              <c:pt idx="4">
                <c:v>52.1</c:v>
              </c:pt>
            </c:numLit>
          </c:val>
          <c:smooth val="0"/>
          <c:extLst>
            <c:ext xmlns:c16="http://schemas.microsoft.com/office/drawing/2014/chart" uri="{C3380CC4-5D6E-409C-BE32-E72D297353CC}">
              <c16:uniqueId val="{00000004-A72C-4622-99C9-826F447F9DF0}"/>
            </c:ext>
          </c:extLst>
        </c:ser>
        <c:dLbls>
          <c:showLegendKey val="0"/>
          <c:showVal val="0"/>
          <c:showCatName val="0"/>
          <c:showSerName val="0"/>
          <c:showPercent val="0"/>
          <c:showBubbleSize val="0"/>
        </c:dLbls>
        <c:marker val="1"/>
        <c:smooth val="0"/>
        <c:axId val="323285216"/>
        <c:axId val="323291120"/>
      </c:lineChart>
      <c:catAx>
        <c:axId val="32328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crossAx val="323291120"/>
        <c:crosses val="autoZero"/>
        <c:auto val="1"/>
        <c:lblAlgn val="ctr"/>
        <c:lblOffset val="100"/>
        <c:noMultiLvlLbl val="0"/>
      </c:catAx>
      <c:valAx>
        <c:axId val="323291120"/>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ES"/>
                  <a:t>Kr/Kp</a:t>
                </a:r>
              </a:p>
            </c:rich>
          </c:tx>
          <c:layout>
            <c:manualLayout>
              <c:xMode val="edge"/>
              <c:yMode val="edge"/>
              <c:x val="1.5867767768971548E-2"/>
              <c:y val="0.3239084815703378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crossAx val="323285216"/>
        <c:crosses val="autoZero"/>
        <c:crossBetween val="between"/>
        <c:majorUnit val="5"/>
        <c:minorUnit val="2"/>
      </c:valAx>
      <c:spPr>
        <a:noFill/>
        <a:ln>
          <a:noFill/>
        </a:ln>
        <a:effectLst/>
      </c:spPr>
    </c:plotArea>
    <c:legend>
      <c:legendPos val="b"/>
      <c:layout>
        <c:manualLayout>
          <c:xMode val="edge"/>
          <c:yMode val="edge"/>
          <c:x val="7.1924874240912373E-2"/>
          <c:y val="0.91022776818927931"/>
          <c:w val="0.82467662785571016"/>
          <c:h val="5.9128715556506756E-2"/>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ysClr val="windowText" lastClr="000000"/>
          </a:solidFill>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99217110755138"/>
          <c:y val="8.4368828628620912E-2"/>
          <c:w val="0.77737878753694467"/>
          <c:h val="0.71237434872879701"/>
        </c:manualLayout>
      </c:layout>
      <c:barChart>
        <c:barDir val="col"/>
        <c:grouping val="clustered"/>
        <c:varyColors val="0"/>
        <c:ser>
          <c:idx val="0"/>
          <c:order val="0"/>
          <c:tx>
            <c:strRef>
              <c:f>'Figura 1.5-22'!$A$5</c:f>
              <c:strCache>
                <c:ptCount val="1"/>
                <c:pt idx="0">
                  <c:v>Recogida selectiva pilas portátiles (t)</c:v>
                </c:pt>
              </c:strCache>
            </c:strRef>
          </c:tx>
          <c:spPr>
            <a:solidFill>
              <a:srgbClr val="BF8B2E"/>
            </a:solidFill>
            <a:ln w="38100">
              <a:noFill/>
              <a:prstDash val="solid"/>
            </a:ln>
          </c:spPr>
          <c:invertIfNegative val="0"/>
          <c:dLbls>
            <c:numFmt formatCode="#,##0" sourceLinked="0"/>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1.5-22'!$O$4:$S$4</c:f>
              <c:numCache>
                <c:formatCode>#,##0</c:formatCode>
                <c:ptCount val="5"/>
                <c:pt idx="0">
                  <c:v>2018</c:v>
                </c:pt>
                <c:pt idx="1">
                  <c:v>2019</c:v>
                </c:pt>
                <c:pt idx="2">
                  <c:v>2020</c:v>
                </c:pt>
                <c:pt idx="3">
                  <c:v>2021</c:v>
                </c:pt>
                <c:pt idx="4">
                  <c:v>2022</c:v>
                </c:pt>
              </c:numCache>
            </c:numRef>
          </c:cat>
          <c:val>
            <c:numRef>
              <c:f>'Figura 1.5-22'!$O$5:$S$5</c:f>
              <c:numCache>
                <c:formatCode>#,##0</c:formatCode>
                <c:ptCount val="5"/>
                <c:pt idx="0">
                  <c:v>109.48699999999999</c:v>
                </c:pt>
                <c:pt idx="1">
                  <c:v>148.499</c:v>
                </c:pt>
                <c:pt idx="2">
                  <c:v>140.971</c:v>
                </c:pt>
                <c:pt idx="3">
                  <c:v>168.16165144693645</c:v>
                </c:pt>
                <c:pt idx="4">
                  <c:v>161.47</c:v>
                </c:pt>
              </c:numCache>
            </c:numRef>
          </c:val>
          <c:extLst>
            <c:ext xmlns:c16="http://schemas.microsoft.com/office/drawing/2014/chart" uri="{C3380CC4-5D6E-409C-BE32-E72D297353CC}">
              <c16:uniqueId val="{00000005-8F2D-4C1A-B1D0-B25F3716993F}"/>
            </c:ext>
          </c:extLst>
        </c:ser>
        <c:dLbls>
          <c:showLegendKey val="0"/>
          <c:showVal val="0"/>
          <c:showCatName val="0"/>
          <c:showSerName val="0"/>
          <c:showPercent val="0"/>
          <c:showBubbleSize val="0"/>
        </c:dLbls>
        <c:gapWidth val="150"/>
        <c:axId val="450149696"/>
        <c:axId val="1"/>
      </c:barChart>
      <c:lineChart>
        <c:grouping val="standard"/>
        <c:varyColors val="0"/>
        <c:ser>
          <c:idx val="1"/>
          <c:order val="1"/>
          <c:tx>
            <c:strRef>
              <c:f>'Figura 1.5-22'!$A$6</c:f>
              <c:strCache>
                <c:ptCount val="1"/>
                <c:pt idx="0">
                  <c:v>kg/persona</c:v>
                </c:pt>
              </c:strCache>
            </c:strRef>
          </c:tx>
          <c:marker>
            <c:symbol val="diamond"/>
            <c:size val="6"/>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'Figura 1.5-22'!$O$4:$S$4</c:f>
              <c:numCache>
                <c:formatCode>#,##0</c:formatCode>
                <c:ptCount val="5"/>
                <c:pt idx="0">
                  <c:v>2018</c:v>
                </c:pt>
                <c:pt idx="1">
                  <c:v>2019</c:v>
                </c:pt>
                <c:pt idx="2">
                  <c:v>2020</c:v>
                </c:pt>
                <c:pt idx="3">
                  <c:v>2021</c:v>
                </c:pt>
                <c:pt idx="4">
                  <c:v>2022</c:v>
                </c:pt>
              </c:numCache>
            </c:numRef>
          </c:cat>
          <c:val>
            <c:numRef>
              <c:f>'Figura 1.5-22'!$O$6:$S$6</c:f>
              <c:numCache>
                <c:formatCode>#,##0.00</c:formatCode>
                <c:ptCount val="5"/>
                <c:pt idx="0">
                  <c:v>8.3659094937985581E-2</c:v>
                </c:pt>
                <c:pt idx="1">
                  <c:v>0.11255970062707925</c:v>
                </c:pt>
                <c:pt idx="2">
                  <c:v>0.10604178905980258</c:v>
                </c:pt>
                <c:pt idx="3">
                  <c:v>0.12679378451672518</c:v>
                </c:pt>
                <c:pt idx="4">
                  <c:v>0.1217433264345197</c:v>
                </c:pt>
              </c:numCache>
            </c:numRef>
          </c:val>
          <c:smooth val="0"/>
          <c:extLst>
            <c:ext xmlns:c16="http://schemas.microsoft.com/office/drawing/2014/chart" uri="{C3380CC4-5D6E-409C-BE32-E72D297353CC}">
              <c16:uniqueId val="{00000000-A306-42D7-9607-86BF33E2BC61}"/>
            </c:ext>
          </c:extLst>
        </c:ser>
        <c:dLbls>
          <c:showLegendKey val="0"/>
          <c:showVal val="0"/>
          <c:showCatName val="0"/>
          <c:showSerName val="0"/>
          <c:showPercent val="0"/>
          <c:showBubbleSize val="0"/>
        </c:dLbls>
        <c:marker val="1"/>
        <c:smooth val="0"/>
        <c:axId val="479195176"/>
        <c:axId val="479193536"/>
      </c:lineChart>
      <c:catAx>
        <c:axId val="450149696"/>
        <c:scaling>
          <c:orientation val="minMax"/>
        </c:scaling>
        <c:delete val="0"/>
        <c:axPos val="b"/>
        <c:numFmt formatCode="#,##0" sourceLinked="1"/>
        <c:majorTickMark val="out"/>
        <c:minorTickMark val="none"/>
        <c:tickLblPos val="nextTo"/>
        <c:spPr>
          <a:ln w="3175">
            <a:noFill/>
            <a:prstDash val="solid"/>
          </a:ln>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title>
          <c:tx>
            <c:rich>
              <a:bodyPr/>
              <a:lstStyle/>
              <a:p>
                <a:pPr>
                  <a:defRPr/>
                </a:pPr>
                <a:r>
                  <a:rPr lang="es-ES"/>
                  <a:t>Toneladas</a:t>
                </a:r>
              </a:p>
            </c:rich>
          </c:tx>
          <c:overlay val="0"/>
        </c:title>
        <c:numFmt formatCode="#,##0" sourceLinked="0"/>
        <c:majorTickMark val="out"/>
        <c:minorTickMark val="none"/>
        <c:tickLblPos val="nextTo"/>
        <c:spPr>
          <a:ln w="3175">
            <a:noFill/>
            <a:prstDash val="solid"/>
          </a:ln>
        </c:spPr>
        <c:txPr>
          <a:bodyPr rot="0" vert="horz"/>
          <a:lstStyle/>
          <a:p>
            <a:pPr>
              <a:defRPr/>
            </a:pPr>
            <a:endParaRPr lang="es-ES"/>
          </a:p>
        </c:txPr>
        <c:crossAx val="450149696"/>
        <c:crossesAt val="1"/>
        <c:crossBetween val="between"/>
      </c:valAx>
      <c:valAx>
        <c:axId val="479193536"/>
        <c:scaling>
          <c:orientation val="minMax"/>
        </c:scaling>
        <c:delete val="0"/>
        <c:axPos val="r"/>
        <c:title>
          <c:tx>
            <c:rich>
              <a:bodyPr/>
              <a:lstStyle/>
              <a:p>
                <a:pPr>
                  <a:defRPr/>
                </a:pPr>
                <a:r>
                  <a:rPr lang="es-ES"/>
                  <a:t>kg/habitante</a:t>
                </a:r>
              </a:p>
            </c:rich>
          </c:tx>
          <c:overlay val="0"/>
        </c:title>
        <c:numFmt formatCode="#,##0.00" sourceLinked="1"/>
        <c:majorTickMark val="out"/>
        <c:minorTickMark val="none"/>
        <c:tickLblPos val="nextTo"/>
        <c:spPr>
          <a:ln>
            <a:noFill/>
          </a:ln>
        </c:spPr>
        <c:crossAx val="479195176"/>
        <c:crosses val="max"/>
        <c:crossBetween val="between"/>
      </c:valAx>
      <c:catAx>
        <c:axId val="479195176"/>
        <c:scaling>
          <c:orientation val="minMax"/>
        </c:scaling>
        <c:delete val="1"/>
        <c:axPos val="b"/>
        <c:numFmt formatCode="#,##0" sourceLinked="1"/>
        <c:majorTickMark val="out"/>
        <c:minorTickMark val="none"/>
        <c:tickLblPos val="nextTo"/>
        <c:crossAx val="479193536"/>
        <c:crosses val="autoZero"/>
        <c:auto val="1"/>
        <c:lblAlgn val="ctr"/>
        <c:lblOffset val="100"/>
        <c:noMultiLvlLbl val="0"/>
      </c:catAx>
      <c:spPr>
        <a:noFill/>
        <a:ln w="12700">
          <a:noFill/>
          <a:prstDash val="solid"/>
        </a:ln>
      </c:spPr>
    </c:plotArea>
    <c:legend>
      <c:legendPos val="r"/>
      <c:layout>
        <c:manualLayout>
          <c:xMode val="edge"/>
          <c:yMode val="edge"/>
          <c:x val="4.6555061706111948E-2"/>
          <c:y val="0.86004378720952568"/>
          <c:w val="0.92403011228181009"/>
          <c:h val="0.12675475321682353"/>
        </c:manualLayout>
      </c:layout>
      <c:overlay val="0"/>
    </c:legend>
    <c:plotVisOnly val="1"/>
    <c:dispBlanksAs val="gap"/>
    <c:showDLblsOverMax val="0"/>
  </c:chart>
  <c:spPr>
    <a:noFill/>
    <a:ln w="6350">
      <a:solidFill>
        <a:schemeClr val="bg1">
          <a:lumMod val="85000"/>
        </a:schemeClr>
      </a:solidFill>
    </a:ln>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85033394468421"/>
          <c:y val="9.8886935249598656E-2"/>
          <c:w val="0.82500153105861762"/>
          <c:h val="0.73047439548779802"/>
        </c:manualLayout>
      </c:layout>
      <c:barChart>
        <c:barDir val="col"/>
        <c:grouping val="stacked"/>
        <c:varyColors val="0"/>
        <c:ser>
          <c:idx val="0"/>
          <c:order val="0"/>
          <c:tx>
            <c:strRef>
              <c:f>'Figura 1.5-23'!$A$4</c:f>
              <c:strCache>
                <c:ptCount val="1"/>
                <c:pt idx="0">
                  <c:v>Total envases fitosanitarios recogidos</c:v>
                </c:pt>
              </c:strCache>
            </c:strRef>
          </c:tx>
          <c:spPr>
            <a:solidFill>
              <a:srgbClr val="BF8B2E"/>
            </a:solidFill>
            <a:ln w="25400">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'Figura 1.5-23'!$O$3:$S$3</c:f>
              <c:strCache>
                <c:ptCount val="5"/>
                <c:pt idx="0">
                  <c:v>2.018</c:v>
                </c:pt>
                <c:pt idx="1">
                  <c:v>2.019</c:v>
                </c:pt>
                <c:pt idx="2">
                  <c:v>2.020</c:v>
                </c:pt>
                <c:pt idx="3">
                  <c:v>2.021</c:v>
                </c:pt>
                <c:pt idx="4">
                  <c:v>2.022</c:v>
                </c:pt>
              </c:strCache>
            </c:strRef>
          </c:cat>
          <c:val>
            <c:numRef>
              <c:f>'Figura 1.5-23'!$O$4:$S$4</c:f>
              <c:numCache>
                <c:formatCode>#,##0</c:formatCode>
                <c:ptCount val="5"/>
                <c:pt idx="0">
                  <c:v>310.49</c:v>
                </c:pt>
                <c:pt idx="1">
                  <c:v>309.64599999999996</c:v>
                </c:pt>
                <c:pt idx="2">
                  <c:v>345.99</c:v>
                </c:pt>
                <c:pt idx="3">
                  <c:v>351.15000000000003</c:v>
                </c:pt>
                <c:pt idx="4">
                  <c:v>335.68</c:v>
                </c:pt>
              </c:numCache>
            </c:numRef>
          </c:val>
          <c:extLst>
            <c:ext xmlns:c16="http://schemas.microsoft.com/office/drawing/2014/chart" uri="{C3380CC4-5D6E-409C-BE32-E72D297353CC}">
              <c16:uniqueId val="{00000000-E8D8-4CEF-8F01-B216903CE1A1}"/>
            </c:ext>
          </c:extLst>
        </c:ser>
        <c:dLbls>
          <c:showLegendKey val="0"/>
          <c:showVal val="0"/>
          <c:showCatName val="0"/>
          <c:showSerName val="0"/>
          <c:showPercent val="0"/>
          <c:showBubbleSize val="0"/>
        </c:dLbls>
        <c:gapWidth val="90"/>
        <c:overlap val="100"/>
        <c:axId val="450152648"/>
        <c:axId val="1"/>
      </c:barChart>
      <c:catAx>
        <c:axId val="450152648"/>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a:pPr>
            <a:endParaRPr lang="es-ES"/>
          </a:p>
        </c:txPr>
        <c:crossAx val="1"/>
        <c:crosses val="autoZero"/>
        <c:auto val="1"/>
        <c:lblAlgn val="ctr"/>
        <c:lblOffset val="100"/>
        <c:tickLblSkip val="1"/>
        <c:tickMarkSkip val="1"/>
        <c:noMultiLvlLbl val="0"/>
      </c:catAx>
      <c:valAx>
        <c:axId val="1"/>
        <c:scaling>
          <c:orientation val="minMax"/>
          <c:max val="350"/>
          <c:min val="0"/>
        </c:scaling>
        <c:delete val="0"/>
        <c:axPos val="l"/>
        <c:majorGridlines>
          <c:spPr>
            <a:ln w="3175">
              <a:solidFill>
                <a:srgbClr val="C0C0C0"/>
              </a:solidFill>
              <a:prstDash val="solid"/>
            </a:ln>
          </c:spPr>
        </c:majorGridlines>
        <c:title>
          <c:tx>
            <c:rich>
              <a:bodyPr/>
              <a:lstStyle/>
              <a:p>
                <a:pPr>
                  <a:defRPr/>
                </a:pPr>
                <a:r>
                  <a:rPr lang="es-ES"/>
                  <a:t>Toneladas</a:t>
                </a:r>
              </a:p>
            </c:rich>
          </c:tx>
          <c:layout>
            <c:manualLayout>
              <c:xMode val="edge"/>
              <c:yMode val="edge"/>
              <c:x val="1.2770588620917282E-2"/>
              <c:y val="0.39066314848941763"/>
            </c:manualLayout>
          </c:layout>
          <c:overlay val="0"/>
          <c:spPr>
            <a:noFill/>
            <a:ln w="25400">
              <a:noFill/>
            </a:ln>
          </c:spPr>
        </c:title>
        <c:numFmt formatCode="#,##0" sourceLinked="0"/>
        <c:majorTickMark val="none"/>
        <c:minorTickMark val="none"/>
        <c:tickLblPos val="nextTo"/>
        <c:spPr>
          <a:ln w="6350">
            <a:noFill/>
          </a:ln>
        </c:spPr>
        <c:txPr>
          <a:bodyPr rot="0" vert="horz"/>
          <a:lstStyle/>
          <a:p>
            <a:pPr>
              <a:defRPr/>
            </a:pPr>
            <a:endParaRPr lang="es-ES"/>
          </a:p>
        </c:txPr>
        <c:crossAx val="450152648"/>
        <c:crossesAt val="1"/>
        <c:crossBetween val="between"/>
      </c:valAx>
      <c:spPr>
        <a:noFill/>
        <a:ln w="25400">
          <a:noFill/>
        </a:ln>
      </c:spPr>
    </c:plotArea>
    <c:legend>
      <c:legendPos val="b"/>
      <c:layout>
        <c:manualLayout>
          <c:xMode val="edge"/>
          <c:yMode val="edge"/>
          <c:x val="0.25984329970736969"/>
          <c:y val="0.92138629223071256"/>
          <c:w val="0.48058310820673067"/>
          <c:h val="5.5359077455743561E-2"/>
        </c:manualLayout>
      </c:layout>
      <c:overlay val="0"/>
      <c:spPr>
        <a:noFill/>
        <a:ln w="25400">
          <a:noFill/>
        </a:ln>
      </c:spPr>
    </c:legend>
    <c:plotVisOnly val="1"/>
    <c:dispBlanksAs val="gap"/>
    <c:showDLblsOverMax val="0"/>
  </c:chart>
  <c:spPr>
    <a:solidFill>
      <a:srgbClr val="FFFFFF"/>
    </a:solidFill>
    <a:ln w="3175">
      <a:solidFill>
        <a:srgbClr val="C0C0C0"/>
      </a:solidFill>
      <a:prstDash val="solid"/>
    </a:ln>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27104111986001"/>
          <c:y val="8.5467728996783426E-2"/>
          <c:w val="0.79360314960629919"/>
          <c:h val="0.70987868284228772"/>
        </c:manualLayout>
      </c:layout>
      <c:barChart>
        <c:barDir val="col"/>
        <c:grouping val="clustered"/>
        <c:varyColors val="0"/>
        <c:ser>
          <c:idx val="0"/>
          <c:order val="0"/>
          <c:tx>
            <c:strRef>
              <c:f>'Figura 1.5-24'!$A$4</c:f>
              <c:strCache>
                <c:ptCount val="1"/>
                <c:pt idx="0">
                  <c:v>Toneladas de NFU recogidos por los SIG</c:v>
                </c:pt>
              </c:strCache>
            </c:strRef>
          </c:tx>
          <c:spPr>
            <a:ln w="22225">
              <a:solidFill>
                <a:schemeClr val="accent1"/>
              </a:solidFill>
              <a:prstDash val="solid"/>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'Figura 1.5-24'!$K$3:$O$3</c:f>
              <c:strCache>
                <c:ptCount val="5"/>
                <c:pt idx="0">
                  <c:v>2.018</c:v>
                </c:pt>
                <c:pt idx="1">
                  <c:v>2.019</c:v>
                </c:pt>
                <c:pt idx="2">
                  <c:v>2.020</c:v>
                </c:pt>
                <c:pt idx="3">
                  <c:v>2.021</c:v>
                </c:pt>
                <c:pt idx="4">
                  <c:v>2.022</c:v>
                </c:pt>
              </c:strCache>
            </c:strRef>
          </c:cat>
          <c:val>
            <c:numRef>
              <c:f>'Figura 1.5-24'!$K$4:$O$4</c:f>
              <c:numCache>
                <c:formatCode>#,##0</c:formatCode>
                <c:ptCount val="5"/>
                <c:pt idx="0">
                  <c:v>10906.77</c:v>
                </c:pt>
                <c:pt idx="1">
                  <c:v>11595.903</c:v>
                </c:pt>
                <c:pt idx="2">
                  <c:v>10259.469999999999</c:v>
                </c:pt>
                <c:pt idx="3">
                  <c:v>12918.34</c:v>
                </c:pt>
                <c:pt idx="4">
                  <c:v>12629.913</c:v>
                </c:pt>
              </c:numCache>
            </c:numRef>
          </c:val>
          <c:extLst>
            <c:ext xmlns:c16="http://schemas.microsoft.com/office/drawing/2014/chart" uri="{C3380CC4-5D6E-409C-BE32-E72D297353CC}">
              <c16:uniqueId val="{00000005-8326-444E-946C-D6D00B7C8700}"/>
            </c:ext>
          </c:extLst>
        </c:ser>
        <c:dLbls>
          <c:showLegendKey val="0"/>
          <c:showVal val="0"/>
          <c:showCatName val="0"/>
          <c:showSerName val="0"/>
          <c:showPercent val="0"/>
          <c:showBubbleSize val="0"/>
        </c:dLbls>
        <c:gapWidth val="90"/>
        <c:axId val="447471064"/>
        <c:axId val="1"/>
      </c:barChart>
      <c:catAx>
        <c:axId val="447471064"/>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a:pPr>
            <a:endParaRPr lang="es-ES"/>
          </a:p>
        </c:txPr>
        <c:crossAx val="1"/>
        <c:crosses val="autoZero"/>
        <c:auto val="1"/>
        <c:lblAlgn val="ctr"/>
        <c:lblOffset val="100"/>
        <c:noMultiLvlLbl val="0"/>
      </c:catAx>
      <c:valAx>
        <c:axId val="1"/>
        <c:scaling>
          <c:orientation val="minMax"/>
          <c:max val="14000"/>
          <c:min val="0"/>
        </c:scaling>
        <c:delete val="0"/>
        <c:axPos val="l"/>
        <c:majorGridlines>
          <c:spPr>
            <a:ln w="3175">
              <a:solidFill>
                <a:schemeClr val="bg1">
                  <a:lumMod val="75000"/>
                </a:schemeClr>
              </a:solidFill>
              <a:prstDash val="solid"/>
            </a:ln>
          </c:spPr>
        </c:majorGridlines>
        <c:title>
          <c:tx>
            <c:rich>
              <a:bodyPr/>
              <a:lstStyle/>
              <a:p>
                <a:pPr>
                  <a:defRPr/>
                </a:pPr>
                <a:r>
                  <a:rPr lang="es-ES"/>
                  <a:t>Toneladas</a:t>
                </a:r>
              </a:p>
            </c:rich>
          </c:tx>
          <c:layout>
            <c:manualLayout>
              <c:xMode val="edge"/>
              <c:yMode val="edge"/>
              <c:x val="5.0061242344706929E-4"/>
              <c:y val="0.3646652991905423"/>
            </c:manualLayout>
          </c:layout>
          <c:overlay val="0"/>
          <c:spPr>
            <a:noFill/>
            <a:ln w="25400">
              <a:noFill/>
            </a:ln>
          </c:spPr>
        </c:title>
        <c:numFmt formatCode="#,##0" sourceLinked="0"/>
        <c:majorTickMark val="out"/>
        <c:minorTickMark val="none"/>
        <c:tickLblPos val="nextTo"/>
        <c:spPr>
          <a:ln w="3175">
            <a:noFill/>
            <a:prstDash val="solid"/>
          </a:ln>
        </c:spPr>
        <c:txPr>
          <a:bodyPr rot="0" vert="horz"/>
          <a:lstStyle/>
          <a:p>
            <a:pPr>
              <a:defRPr/>
            </a:pPr>
            <a:endParaRPr lang="es-ES"/>
          </a:p>
        </c:txPr>
        <c:crossAx val="447471064"/>
        <c:crossesAt val="1"/>
        <c:crossBetween val="between"/>
        <c:majorUnit val="2000"/>
      </c:valAx>
      <c:spPr>
        <a:noFill/>
        <a:ln w="25400">
          <a:noFill/>
        </a:ln>
      </c:spPr>
    </c:plotArea>
    <c:legend>
      <c:legendPos val="r"/>
      <c:layout>
        <c:manualLayout>
          <c:xMode val="edge"/>
          <c:yMode val="edge"/>
          <c:x val="0.22542152230971124"/>
          <c:y val="0.87765411676481619"/>
          <c:w val="0.57680069991251082"/>
          <c:h val="0.1036717469139887"/>
        </c:manualLayout>
      </c:layout>
      <c:overlay val="0"/>
      <c:spPr>
        <a:solidFill>
          <a:srgbClr val="FFFFFF"/>
        </a:solidFill>
        <a:ln w="3175">
          <a:noFill/>
          <a:prstDash val="solid"/>
        </a:ln>
      </c:spPr>
    </c:legend>
    <c:plotVisOnly val="1"/>
    <c:dispBlanksAs val="gap"/>
    <c:showDLblsOverMax val="0"/>
  </c:chart>
  <c:spPr>
    <a:solidFill>
      <a:srgbClr val="FFFFFF"/>
    </a:solidFill>
    <a:ln w="6350">
      <a:solidFill>
        <a:schemeClr val="bg1">
          <a:lumMod val="85000"/>
        </a:schemeClr>
      </a:solidFill>
    </a:ln>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7730870804755"/>
          <c:y val="8.3333584507572903E-2"/>
          <c:w val="0.81182937778158915"/>
          <c:h val="0.78086655112651648"/>
        </c:manualLayout>
      </c:layout>
      <c:barChart>
        <c:barDir val="col"/>
        <c:grouping val="clustered"/>
        <c:varyColors val="0"/>
        <c:ser>
          <c:idx val="0"/>
          <c:order val="0"/>
          <c:tx>
            <c:v>Certificados de destrucción</c:v>
          </c:tx>
          <c:spPr>
            <a:solidFill>
              <a:srgbClr val="BF8B2E"/>
            </a:solidFill>
            <a:ln w="25400">
              <a:noFill/>
              <a:prstDash val="solid"/>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5"/>
              <c:pt idx="0">
                <c:v>2018</c:v>
              </c:pt>
              <c:pt idx="1">
                <c:v>2019</c:v>
              </c:pt>
              <c:pt idx="2">
                <c:v>2020</c:v>
              </c:pt>
              <c:pt idx="3">
                <c:v>2021</c:v>
              </c:pt>
              <c:pt idx="4">
                <c:v>2022</c:v>
              </c:pt>
            </c:numLit>
          </c:cat>
          <c:val>
            <c:numLit>
              <c:formatCode>General</c:formatCode>
              <c:ptCount val="5"/>
              <c:pt idx="0">
                <c:v>18749</c:v>
              </c:pt>
              <c:pt idx="1">
                <c:v>18862</c:v>
              </c:pt>
              <c:pt idx="2">
                <c:v>17554</c:v>
              </c:pt>
              <c:pt idx="3">
                <c:v>18681</c:v>
              </c:pt>
              <c:pt idx="4">
                <c:v>15464</c:v>
              </c:pt>
            </c:numLit>
          </c:val>
          <c:extLst>
            <c:ext xmlns:c16="http://schemas.microsoft.com/office/drawing/2014/chart" uri="{C3380CC4-5D6E-409C-BE32-E72D297353CC}">
              <c16:uniqueId val="{00000000-0CD5-4BC4-B86B-717A8B7D3AED}"/>
            </c:ext>
          </c:extLst>
        </c:ser>
        <c:dLbls>
          <c:showLegendKey val="0"/>
          <c:showVal val="0"/>
          <c:showCatName val="0"/>
          <c:showSerName val="0"/>
          <c:showPercent val="0"/>
          <c:showBubbleSize val="0"/>
        </c:dLbls>
        <c:gapWidth val="150"/>
        <c:axId val="451202352"/>
        <c:axId val="1"/>
      </c:barChart>
      <c:catAx>
        <c:axId val="451202352"/>
        <c:scaling>
          <c:orientation val="minMax"/>
        </c:scaling>
        <c:delete val="0"/>
        <c:axPos val="b"/>
        <c:numFmt formatCode="General" sourceLinked="1"/>
        <c:majorTickMark val="out"/>
        <c:minorTickMark val="none"/>
        <c:tickLblPos val="nextTo"/>
        <c:spPr>
          <a:ln w="3175">
            <a:noFill/>
            <a:prstDash val="solid"/>
          </a:ln>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title>
          <c:tx>
            <c:rich>
              <a:bodyPr/>
              <a:lstStyle/>
              <a:p>
                <a:pPr>
                  <a:defRPr/>
                </a:pPr>
                <a:r>
                  <a:rPr lang="es-ES"/>
                  <a:t>Nº certificados</a:t>
                </a:r>
              </a:p>
            </c:rich>
          </c:tx>
          <c:layout>
            <c:manualLayout>
              <c:xMode val="edge"/>
              <c:yMode val="edge"/>
              <c:x val="5.9737156511350056E-4"/>
              <c:y val="0.32716146592787015"/>
            </c:manualLayout>
          </c:layout>
          <c:overlay val="0"/>
          <c:spPr>
            <a:noFill/>
            <a:ln w="25400">
              <a:noFill/>
            </a:ln>
          </c:spPr>
        </c:title>
        <c:numFmt formatCode="#,##0" sourceLinked="0"/>
        <c:majorTickMark val="out"/>
        <c:minorTickMark val="none"/>
        <c:tickLblPos val="nextTo"/>
        <c:spPr>
          <a:ln w="3175">
            <a:noFill/>
            <a:prstDash val="solid"/>
          </a:ln>
        </c:spPr>
        <c:txPr>
          <a:bodyPr rot="0" vert="horz"/>
          <a:lstStyle/>
          <a:p>
            <a:pPr>
              <a:defRPr/>
            </a:pPr>
            <a:endParaRPr lang="es-ES"/>
          </a:p>
        </c:txPr>
        <c:crossAx val="451202352"/>
        <c:crossesAt val="1"/>
        <c:crossBetween val="between"/>
      </c:valAx>
      <c:spPr>
        <a:solidFill>
          <a:srgbClr val="FFFFFF"/>
        </a:solidFill>
        <a:ln w="12700">
          <a:noFill/>
          <a:prstDash val="solid"/>
        </a:ln>
      </c:spPr>
    </c:plotArea>
    <c:plotVisOnly val="1"/>
    <c:dispBlanksAs val="gap"/>
    <c:showDLblsOverMax val="0"/>
  </c:chart>
  <c:spPr>
    <a:solidFill>
      <a:srgbClr val="FFFFFF"/>
    </a:solidFill>
    <a:ln w="6350">
      <a:solidFill>
        <a:schemeClr val="bg1">
          <a:lumMod val="85000"/>
        </a:schemeClr>
      </a:solidFill>
    </a:ln>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32609297408344"/>
          <c:y val="5.0228216522439639E-2"/>
          <c:w val="0.77134165090863005"/>
          <c:h val="0.74513718458460032"/>
        </c:manualLayout>
      </c:layout>
      <c:barChart>
        <c:barDir val="col"/>
        <c:grouping val="stacked"/>
        <c:varyColors val="0"/>
        <c:ser>
          <c:idx val="0"/>
          <c:order val="0"/>
          <c:tx>
            <c:strRef>
              <c:f>'Figura 1.5-3'!$A$4</c:f>
              <c:strCache>
                <c:ptCount val="1"/>
                <c:pt idx="0">
                  <c:v>Fracción resto (LER 200301)</c:v>
                </c:pt>
              </c:strCache>
            </c:strRef>
          </c:tx>
          <c:spPr>
            <a:solidFill>
              <a:srgbClr val="92D050"/>
            </a:solidFill>
            <a:ln w="25400">
              <a:noFill/>
            </a:ln>
          </c:spPr>
          <c:invertIfNegative val="0"/>
          <c:cat>
            <c:strRef>
              <c:f>'Figura 1.5-3'!$J$3:$N$3</c:f>
              <c:strCache>
                <c:ptCount val="5"/>
                <c:pt idx="0">
                  <c:v>2018</c:v>
                </c:pt>
                <c:pt idx="1">
                  <c:v>2019</c:v>
                </c:pt>
                <c:pt idx="2">
                  <c:v>2020</c:v>
                </c:pt>
                <c:pt idx="3">
                  <c:v>2021</c:v>
                </c:pt>
                <c:pt idx="4">
                  <c:v>2022</c:v>
                </c:pt>
              </c:strCache>
            </c:strRef>
          </c:cat>
          <c:val>
            <c:numRef>
              <c:f>'Figura 1.5-3'!$J$4:$N$4</c:f>
              <c:numCache>
                <c:formatCode>_-* #,##0\ _P_t_s_-;\-* #,##0\ _P_t_s_-;_-* \-??\ _P_t_s_-;_-@_-</c:formatCode>
                <c:ptCount val="5"/>
                <c:pt idx="0">
                  <c:v>457585</c:v>
                </c:pt>
                <c:pt idx="1">
                  <c:v>450864.45599999948</c:v>
                </c:pt>
                <c:pt idx="2">
                  <c:v>437970.02999999974</c:v>
                </c:pt>
                <c:pt idx="3">
                  <c:v>445769.53500000091</c:v>
                </c:pt>
                <c:pt idx="4">
                  <c:v>432384.80599999911</c:v>
                </c:pt>
              </c:numCache>
            </c:numRef>
          </c:val>
          <c:extLst>
            <c:ext xmlns:c16="http://schemas.microsoft.com/office/drawing/2014/chart" uri="{C3380CC4-5D6E-409C-BE32-E72D297353CC}">
              <c16:uniqueId val="{00000000-0C8A-4EB1-A148-B5029B4498B2}"/>
            </c:ext>
          </c:extLst>
        </c:ser>
        <c:ser>
          <c:idx val="2"/>
          <c:order val="1"/>
          <c:tx>
            <c:strRef>
              <c:f>'Figura 1.5-3'!$A$6</c:f>
              <c:strCache>
                <c:ptCount val="1"/>
                <c:pt idx="0">
                  <c:v>Residuos de limpieza municipal</c:v>
                </c:pt>
              </c:strCache>
            </c:strRef>
          </c:tx>
          <c:spPr>
            <a:solidFill>
              <a:srgbClr val="FF0000"/>
            </a:solidFill>
            <a:ln w="25400">
              <a:noFill/>
            </a:ln>
          </c:spPr>
          <c:invertIfNegative val="0"/>
          <c:cat>
            <c:strRef>
              <c:f>'Figura 1.5-3'!$J$3:$N$3</c:f>
              <c:strCache>
                <c:ptCount val="5"/>
                <c:pt idx="0">
                  <c:v>2018</c:v>
                </c:pt>
                <c:pt idx="1">
                  <c:v>2019</c:v>
                </c:pt>
                <c:pt idx="2">
                  <c:v>2020</c:v>
                </c:pt>
                <c:pt idx="3">
                  <c:v>2021</c:v>
                </c:pt>
                <c:pt idx="4">
                  <c:v>2022</c:v>
                </c:pt>
              </c:strCache>
            </c:strRef>
          </c:cat>
          <c:val>
            <c:numRef>
              <c:f>'Figura 1.5-3'!$J$6:$N$6</c:f>
              <c:numCache>
                <c:formatCode>_-* #,##0\ _P_t_s_-;\-* #,##0\ _P_t_s_-;_-* \-??\ _P_t_s_-;_-@_-</c:formatCode>
                <c:ptCount val="5"/>
                <c:pt idx="0">
                  <c:v>19226.216000000029</c:v>
                </c:pt>
                <c:pt idx="1">
                  <c:v>16412.009999999995</c:v>
                </c:pt>
                <c:pt idx="2">
                  <c:v>14532.15000000002</c:v>
                </c:pt>
                <c:pt idx="3">
                  <c:v>15037.5</c:v>
                </c:pt>
                <c:pt idx="4">
                  <c:v>11222.54</c:v>
                </c:pt>
              </c:numCache>
            </c:numRef>
          </c:val>
          <c:extLst>
            <c:ext xmlns:c16="http://schemas.microsoft.com/office/drawing/2014/chart" uri="{C3380CC4-5D6E-409C-BE32-E72D297353CC}">
              <c16:uniqueId val="{00000002-0C8A-4EB1-A148-B5029B4498B2}"/>
            </c:ext>
          </c:extLst>
        </c:ser>
        <c:ser>
          <c:idx val="1"/>
          <c:order val="2"/>
          <c:tx>
            <c:strRef>
              <c:f>'Figura 1.5-3'!$A$5</c:f>
              <c:strCache>
                <c:ptCount val="1"/>
                <c:pt idx="0">
                  <c:v>Recogida selectiva</c:v>
                </c:pt>
              </c:strCache>
            </c:strRef>
          </c:tx>
          <c:spPr>
            <a:solidFill>
              <a:srgbClr val="9999FF"/>
            </a:solidFill>
            <a:ln w="25400">
              <a:noFill/>
            </a:ln>
          </c:spPr>
          <c:invertIfNegative val="0"/>
          <c:cat>
            <c:strRef>
              <c:f>'Figura 1.5-3'!$J$3:$N$3</c:f>
              <c:strCache>
                <c:ptCount val="5"/>
                <c:pt idx="0">
                  <c:v>2018</c:v>
                </c:pt>
                <c:pt idx="1">
                  <c:v>2019</c:v>
                </c:pt>
                <c:pt idx="2">
                  <c:v>2020</c:v>
                </c:pt>
                <c:pt idx="3">
                  <c:v>2021</c:v>
                </c:pt>
                <c:pt idx="4">
                  <c:v>2022</c:v>
                </c:pt>
              </c:strCache>
            </c:strRef>
          </c:cat>
          <c:val>
            <c:numRef>
              <c:f>'Figura 1.5-3'!$J$5:$N$5</c:f>
              <c:numCache>
                <c:formatCode>_-* #,##0\ _P_t_s_-;\-* #,##0\ _P_t_s_-;_-* \-??\ _P_t_s_-;_-@_-</c:formatCode>
                <c:ptCount val="5"/>
                <c:pt idx="0">
                  <c:v>72940.534974795126</c:v>
                </c:pt>
                <c:pt idx="1">
                  <c:v>78202.790542338742</c:v>
                </c:pt>
                <c:pt idx="2">
                  <c:v>81917.551628344023</c:v>
                </c:pt>
                <c:pt idx="3">
                  <c:v>83633.775269444799</c:v>
                </c:pt>
                <c:pt idx="4">
                  <c:v>83717.828111997864</c:v>
                </c:pt>
              </c:numCache>
            </c:numRef>
          </c:val>
          <c:extLst>
            <c:ext xmlns:c16="http://schemas.microsoft.com/office/drawing/2014/chart" uri="{C3380CC4-5D6E-409C-BE32-E72D297353CC}">
              <c16:uniqueId val="{00000001-0C8A-4EB1-A148-B5029B4498B2}"/>
            </c:ext>
          </c:extLst>
        </c:ser>
        <c:ser>
          <c:idx val="3"/>
          <c:order val="3"/>
          <c:tx>
            <c:strRef>
              <c:f>'Figura 1.5-3'!$A$7</c:f>
              <c:strCache>
                <c:ptCount val="1"/>
                <c:pt idx="0">
                  <c:v>Residuos recogidos en puntos limpios</c:v>
                </c:pt>
              </c:strCache>
            </c:strRef>
          </c:tx>
          <c:spPr>
            <a:solidFill>
              <a:srgbClr val="FFFF00"/>
            </a:solidFill>
            <a:ln w="25400">
              <a:noFill/>
            </a:ln>
          </c:spPr>
          <c:invertIfNegative val="0"/>
          <c:cat>
            <c:strRef>
              <c:f>'Figura 1.5-3'!$J$3:$N$3</c:f>
              <c:strCache>
                <c:ptCount val="5"/>
                <c:pt idx="0">
                  <c:v>2018</c:v>
                </c:pt>
                <c:pt idx="1">
                  <c:v>2019</c:v>
                </c:pt>
                <c:pt idx="2">
                  <c:v>2020</c:v>
                </c:pt>
                <c:pt idx="3">
                  <c:v>2021</c:v>
                </c:pt>
                <c:pt idx="4">
                  <c:v>2022</c:v>
                </c:pt>
              </c:strCache>
            </c:strRef>
          </c:cat>
          <c:val>
            <c:numRef>
              <c:f>'Figura 1.5-3'!$J$7:$N$7</c:f>
              <c:numCache>
                <c:formatCode>_-* #,##0\ _P_t_s_-;\-* #,##0\ _P_t_s_-;_-* \-??\ _P_t_s_-;_-@_-</c:formatCode>
                <c:ptCount val="5"/>
                <c:pt idx="0">
                  <c:v>49290.0262</c:v>
                </c:pt>
                <c:pt idx="1">
                  <c:v>53785.617279999999</c:v>
                </c:pt>
                <c:pt idx="2">
                  <c:v>49290.039199999999</c:v>
                </c:pt>
                <c:pt idx="3">
                  <c:v>57912.974099999999</c:v>
                </c:pt>
                <c:pt idx="4">
                  <c:v>55094.001099999994</c:v>
                </c:pt>
              </c:numCache>
            </c:numRef>
          </c:val>
          <c:extLst>
            <c:ext xmlns:c16="http://schemas.microsoft.com/office/drawing/2014/chart" uri="{C3380CC4-5D6E-409C-BE32-E72D297353CC}">
              <c16:uniqueId val="{00000003-0C8A-4EB1-A148-B5029B4498B2}"/>
            </c:ext>
          </c:extLst>
        </c:ser>
        <c:ser>
          <c:idx val="4"/>
          <c:order val="4"/>
          <c:tx>
            <c:strRef>
              <c:f>'Figura 1.5-3'!$A$8</c:f>
              <c:strCache>
                <c:ptCount val="1"/>
                <c:pt idx="0">
                  <c:v>Otras recogidas diferenciadas</c:v>
                </c:pt>
              </c:strCache>
            </c:strRef>
          </c:tx>
          <c:spPr>
            <a:solidFill>
              <a:srgbClr val="FFC000"/>
            </a:solidFill>
            <a:ln w="25400">
              <a:noFill/>
            </a:ln>
          </c:spPr>
          <c:invertIfNegative val="0"/>
          <c:cat>
            <c:strRef>
              <c:f>'Figura 1.5-3'!$J$3:$N$3</c:f>
              <c:strCache>
                <c:ptCount val="5"/>
                <c:pt idx="0">
                  <c:v>2018</c:v>
                </c:pt>
                <c:pt idx="1">
                  <c:v>2019</c:v>
                </c:pt>
                <c:pt idx="2">
                  <c:v>2020</c:v>
                </c:pt>
                <c:pt idx="3">
                  <c:v>2021</c:v>
                </c:pt>
                <c:pt idx="4">
                  <c:v>2022</c:v>
                </c:pt>
              </c:strCache>
            </c:strRef>
          </c:cat>
          <c:val>
            <c:numRef>
              <c:f>'Figura 1.5-3'!$J$8:$N$8</c:f>
              <c:numCache>
                <c:formatCode>_-* #,##0\ _P_t_s_-;\-* #,##0\ _P_t_s_-;_-* \-??\ _P_t_s_-;_-@_-</c:formatCode>
                <c:ptCount val="5"/>
                <c:pt idx="0">
                  <c:v>31326.985342737215</c:v>
                </c:pt>
                <c:pt idx="1">
                  <c:v>33072.279421867548</c:v>
                </c:pt>
                <c:pt idx="2">
                  <c:v>31650.043964159064</c:v>
                </c:pt>
                <c:pt idx="3">
                  <c:v>38286.542540218041</c:v>
                </c:pt>
                <c:pt idx="4">
                  <c:v>35498.663939389895</c:v>
                </c:pt>
              </c:numCache>
            </c:numRef>
          </c:val>
          <c:extLst>
            <c:ext xmlns:c16="http://schemas.microsoft.com/office/drawing/2014/chart" uri="{C3380CC4-5D6E-409C-BE32-E72D297353CC}">
              <c16:uniqueId val="{00000004-0C8A-4EB1-A148-B5029B4498B2}"/>
            </c:ext>
          </c:extLst>
        </c:ser>
        <c:dLbls>
          <c:showLegendKey val="0"/>
          <c:showVal val="0"/>
          <c:showCatName val="0"/>
          <c:showSerName val="0"/>
          <c:showPercent val="0"/>
          <c:showBubbleSize val="0"/>
        </c:dLbls>
        <c:gapWidth val="90"/>
        <c:overlap val="100"/>
        <c:axId val="449086568"/>
        <c:axId val="1"/>
      </c:barChart>
      <c:catAx>
        <c:axId val="449086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75000"/>
                </a:schemeClr>
              </a:solidFill>
              <a:round/>
            </a:ln>
            <a:effectLst/>
          </c:spPr>
        </c:majorGridlines>
        <c:title>
          <c:tx>
            <c:rich>
              <a:bodyPr/>
              <a:lstStyle/>
              <a:p>
                <a:pPr>
                  <a:defRPr/>
                </a:pPr>
                <a:r>
                  <a:rPr lang="es-ES"/>
                  <a:t>Toneladas</a:t>
                </a:r>
              </a:p>
            </c:rich>
          </c:tx>
          <c:layout>
            <c:manualLayout>
              <c:xMode val="edge"/>
              <c:yMode val="edge"/>
              <c:x val="8.3097577404594343E-3"/>
              <c:y val="0.36651464305007619"/>
            </c:manualLayout>
          </c:layout>
          <c:overlay val="0"/>
          <c:spPr>
            <a:noFill/>
            <a:ln w="25400">
              <a:noFill/>
            </a:ln>
          </c:spPr>
        </c:title>
        <c:numFmt formatCode="_-* #,##0\ _P_t_s_-;\-* #,##0\ _P_t_s_-;_-* \-??\ _P_t_s_-;_-@_-" sourceLinked="1"/>
        <c:majorTickMark val="none"/>
        <c:minorTickMark val="none"/>
        <c:tickLblPos val="nextTo"/>
        <c:spPr>
          <a:ln w="6350">
            <a:noFill/>
          </a:ln>
        </c:spPr>
        <c:txPr>
          <a:bodyPr rot="0" vert="horz"/>
          <a:lstStyle/>
          <a:p>
            <a:pPr>
              <a:defRPr/>
            </a:pPr>
            <a:endParaRPr lang="es-ES"/>
          </a:p>
        </c:txPr>
        <c:crossAx val="449086568"/>
        <c:crosses val="autoZero"/>
        <c:crossBetween val="between"/>
      </c:valAx>
      <c:spPr>
        <a:noFill/>
        <a:ln>
          <a:noFill/>
        </a:ln>
        <a:effectLst/>
      </c:spPr>
    </c:plotArea>
    <c:legend>
      <c:legendPos val="b"/>
      <c:layout>
        <c:manualLayout>
          <c:xMode val="edge"/>
          <c:yMode val="edge"/>
          <c:x val="6.290250725238293E-2"/>
          <c:y val="0.86653890242340759"/>
          <c:w val="0.86966512921590011"/>
          <c:h val="0.12104591876510486"/>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27534894958213"/>
          <c:y val="5.0925925925925923E-2"/>
          <c:w val="0.8253578449137372"/>
          <c:h val="0.73577136191309422"/>
        </c:manualLayout>
      </c:layout>
      <c:lineChart>
        <c:grouping val="standard"/>
        <c:varyColors val="0"/>
        <c:ser>
          <c:idx val="0"/>
          <c:order val="0"/>
          <c:tx>
            <c:v>Variación datos respecto 2010</c:v>
          </c:tx>
          <c:spPr>
            <a:ln w="28575" cap="rnd">
              <a:solidFill>
                <a:schemeClr val="accent1"/>
              </a:solidFill>
              <a:round/>
            </a:ln>
            <a:effectLst/>
          </c:spPr>
          <c:marker>
            <c:symbol val="none"/>
          </c:marker>
          <c:cat>
            <c:strRef>
              <c:f>'Figura 1.5-3'!$C$3:$N$3</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'Figura 1.5-3'!$N$38:$Y$38</c:f>
              <c:numCache>
                <c:formatCode>0.00%</c:formatCode>
                <c:ptCount val="12"/>
                <c:pt idx="0">
                  <c:v>6.2018745762119867E-2</c:v>
                </c:pt>
                <c:pt idx="1">
                  <c:v>0.10900558642755942</c:v>
                </c:pt>
                <c:pt idx="2">
                  <c:v>0.13883872916067419</c:v>
                </c:pt>
                <c:pt idx="3">
                  <c:v>0.13031239667088745</c:v>
                </c:pt>
                <c:pt idx="4">
                  <c:v>0.10880221412692595</c:v>
                </c:pt>
                <c:pt idx="5">
                  <c:v>7.5729087490940733E-2</c:v>
                </c:pt>
                <c:pt idx="6">
                  <c:v>6.4808751574368398E-2</c:v>
                </c:pt>
                <c:pt idx="7">
                  <c:v>4.4514344364569428E-2</c:v>
                </c:pt>
                <c:pt idx="8">
                  <c:v>4.1530742993665257E-2</c:v>
                </c:pt>
                <c:pt idx="9">
                  <c:v>6.7264256971555053E-2</c:v>
                </c:pt>
                <c:pt idx="10">
                  <c:v>2.8945152137433559E-2</c:v>
                </c:pt>
                <c:pt idx="11">
                  <c:v>6.3386914490436055E-2</c:v>
                </c:pt>
              </c:numCache>
            </c:numRef>
          </c:val>
          <c:smooth val="0"/>
          <c:extLst>
            <c:ext xmlns:c16="http://schemas.microsoft.com/office/drawing/2014/chart" uri="{C3380CC4-5D6E-409C-BE32-E72D297353CC}">
              <c16:uniqueId val="{00000000-68C4-4038-A83D-0CD49386F135}"/>
            </c:ext>
          </c:extLst>
        </c:ser>
        <c:ser>
          <c:idx val="1"/>
          <c:order val="1"/>
          <c:tx>
            <c:v>Objetivo reducción</c:v>
          </c:tx>
          <c:spPr>
            <a:ln w="28575" cap="rnd">
              <a:solidFill>
                <a:schemeClr val="accent2"/>
              </a:solidFill>
              <a:round/>
            </a:ln>
            <a:effectLst/>
          </c:spPr>
          <c:marker>
            <c:symbol val="none"/>
          </c:marker>
          <c:cat>
            <c:strRef>
              <c:f>'Figura 1.5-3'!$C$3:$N$3</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'Figura 1.5-3'!$N$39:$Y$39</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1-68C4-4038-A83D-0CD49386F135}"/>
            </c:ext>
          </c:extLst>
        </c:ser>
        <c:dLbls>
          <c:showLegendKey val="0"/>
          <c:showVal val="0"/>
          <c:showCatName val="0"/>
          <c:showSerName val="0"/>
          <c:showPercent val="0"/>
          <c:showBubbleSize val="0"/>
        </c:dLbls>
        <c:smooth val="0"/>
        <c:axId val="577496128"/>
        <c:axId val="577496456"/>
      </c:lineChart>
      <c:catAx>
        <c:axId val="5774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7496456"/>
        <c:crosses val="autoZero"/>
        <c:auto val="1"/>
        <c:lblAlgn val="ctr"/>
        <c:lblOffset val="100"/>
        <c:noMultiLvlLbl val="0"/>
      </c:catAx>
      <c:valAx>
        <c:axId val="577496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t>Porcentaje de reducción</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577496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25871216541296E-2"/>
          <c:y val="0.1093392125984252"/>
          <c:w val="0.8842621674745359"/>
          <c:h val="0.6604641857238116"/>
        </c:manualLayout>
      </c:layout>
      <c:barChart>
        <c:barDir val="col"/>
        <c:grouping val="clustered"/>
        <c:varyColors val="0"/>
        <c:ser>
          <c:idx val="0"/>
          <c:order val="0"/>
          <c:tx>
            <c:strRef>
              <c:f>'Figura 1.5-5'!$A$4</c:f>
              <c:strCache>
                <c:ptCount val="1"/>
                <c:pt idx="0">
                  <c:v>%RDyC destinados a preparación para reutilización y reciclado</c:v>
                </c:pt>
              </c:strCache>
            </c:strRef>
          </c:tx>
          <c:spPr>
            <a:solidFill>
              <a:srgbClr val="BF8B2E"/>
            </a:solidFill>
            <a:ln w="25400">
              <a:no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1.5-5'!$H$3:$L$3</c:f>
              <c:strCache>
                <c:ptCount val="5"/>
                <c:pt idx="0">
                  <c:v>2018</c:v>
                </c:pt>
                <c:pt idx="1">
                  <c:v>2019</c:v>
                </c:pt>
                <c:pt idx="2">
                  <c:v>2020</c:v>
                </c:pt>
                <c:pt idx="3">
                  <c:v>2021</c:v>
                </c:pt>
                <c:pt idx="4">
                  <c:v>2022</c:v>
                </c:pt>
              </c:strCache>
            </c:strRef>
          </c:cat>
          <c:val>
            <c:numRef>
              <c:f>'Figura 1.5-5'!$H$4:$L$4</c:f>
              <c:numCache>
                <c:formatCode>0.0\ %</c:formatCode>
                <c:ptCount val="5"/>
                <c:pt idx="0">
                  <c:v>0.28360154494109274</c:v>
                </c:pt>
                <c:pt idx="1">
                  <c:v>0.29830684437592198</c:v>
                </c:pt>
                <c:pt idx="2">
                  <c:v>0.32007541582397026</c:v>
                </c:pt>
                <c:pt idx="3">
                  <c:v>0.31857546430939399</c:v>
                </c:pt>
                <c:pt idx="4">
                  <c:v>0.38015046788805879</c:v>
                </c:pt>
              </c:numCache>
            </c:numRef>
          </c:val>
          <c:extLst>
            <c:ext xmlns:c16="http://schemas.microsoft.com/office/drawing/2014/chart" uri="{C3380CC4-5D6E-409C-BE32-E72D297353CC}">
              <c16:uniqueId val="{00000000-6904-4C5B-AE8F-CF90E9B8931D}"/>
            </c:ext>
          </c:extLst>
        </c:ser>
        <c:dLbls>
          <c:showLegendKey val="0"/>
          <c:showVal val="0"/>
          <c:showCatName val="0"/>
          <c:showSerName val="0"/>
          <c:showPercent val="0"/>
          <c:showBubbleSize val="0"/>
        </c:dLbls>
        <c:gapWidth val="90"/>
        <c:overlap val="-27"/>
        <c:axId val="451195464"/>
        <c:axId val="1"/>
      </c:barChart>
      <c:lineChart>
        <c:grouping val="standard"/>
        <c:varyColors val="0"/>
        <c:ser>
          <c:idx val="1"/>
          <c:order val="1"/>
          <c:tx>
            <c:strRef>
              <c:f>'Figura 1.5-5'!$A$5</c:f>
              <c:strCache>
                <c:ptCount val="1"/>
                <c:pt idx="0">
                  <c:v>Objetivo para 2020</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'Figura 1.5-5'!$H$3:$L$3</c:f>
              <c:strCache>
                <c:ptCount val="5"/>
                <c:pt idx="0">
                  <c:v>2018</c:v>
                </c:pt>
                <c:pt idx="1">
                  <c:v>2019</c:v>
                </c:pt>
                <c:pt idx="2">
                  <c:v>2020</c:v>
                </c:pt>
                <c:pt idx="3">
                  <c:v>2021</c:v>
                </c:pt>
                <c:pt idx="4">
                  <c:v>2022</c:v>
                </c:pt>
              </c:strCache>
            </c:strRef>
          </c:cat>
          <c:val>
            <c:numRef>
              <c:f>'Figura 1.5-5'!$H$5:$L$5</c:f>
              <c:numCache>
                <c:formatCode>0.0\ %</c:formatCode>
                <c:ptCount val="5"/>
                <c:pt idx="0">
                  <c:v>0.5</c:v>
                </c:pt>
                <c:pt idx="1">
                  <c:v>0.5</c:v>
                </c:pt>
                <c:pt idx="2">
                  <c:v>0.5</c:v>
                </c:pt>
                <c:pt idx="3">
                  <c:v>0.5</c:v>
                </c:pt>
                <c:pt idx="4">
                  <c:v>0.5</c:v>
                </c:pt>
              </c:numCache>
            </c:numRef>
          </c:val>
          <c:smooth val="0"/>
          <c:extLst>
            <c:ext xmlns:c16="http://schemas.microsoft.com/office/drawing/2014/chart" uri="{C3380CC4-5D6E-409C-BE32-E72D297353CC}">
              <c16:uniqueId val="{00000001-6904-4C5B-AE8F-CF90E9B8931D}"/>
            </c:ext>
          </c:extLst>
        </c:ser>
        <c:ser>
          <c:idx val="2"/>
          <c:order val="2"/>
          <c:tx>
            <c:strRef>
              <c:f>'Figura 1.5-5'!$A$6</c:f>
              <c:strCache>
                <c:ptCount val="1"/>
                <c:pt idx="0">
                  <c:v>Objetivo para 2025</c:v>
                </c:pt>
              </c:strCache>
            </c:strRef>
          </c:tx>
          <c:spPr>
            <a:ln>
              <a:solidFill>
                <a:srgbClr val="FF0000"/>
              </a:solidFill>
            </a:ln>
          </c:spPr>
          <c:marker>
            <c:symbol val="circle"/>
            <c:size val="5"/>
            <c:spPr>
              <a:solidFill>
                <a:srgbClr val="FF0000"/>
              </a:solidFill>
              <a:ln>
                <a:solidFill>
                  <a:srgbClr val="FF0000"/>
                </a:solidFill>
              </a:ln>
            </c:spPr>
          </c:marker>
          <c:cat>
            <c:strRef>
              <c:f>'Figura 1.5-5'!$H$3:$L$3</c:f>
              <c:strCache>
                <c:ptCount val="5"/>
                <c:pt idx="0">
                  <c:v>2018</c:v>
                </c:pt>
                <c:pt idx="1">
                  <c:v>2019</c:v>
                </c:pt>
                <c:pt idx="2">
                  <c:v>2020</c:v>
                </c:pt>
                <c:pt idx="3">
                  <c:v>2021</c:v>
                </c:pt>
                <c:pt idx="4">
                  <c:v>2022</c:v>
                </c:pt>
              </c:strCache>
            </c:strRef>
          </c:cat>
          <c:val>
            <c:numRef>
              <c:f>'Figura 1.5-5'!$H$6:$L$6</c:f>
              <c:numCache>
                <c:formatCode>0.0\ %</c:formatCode>
                <c:ptCount val="5"/>
                <c:pt idx="0">
                  <c:v>0.55000000000000004</c:v>
                </c:pt>
                <c:pt idx="1">
                  <c:v>0.55000000000000004</c:v>
                </c:pt>
                <c:pt idx="2">
                  <c:v>0.55000000000000004</c:v>
                </c:pt>
                <c:pt idx="3">
                  <c:v>0.55000000000000004</c:v>
                </c:pt>
                <c:pt idx="4">
                  <c:v>0.55000000000000004</c:v>
                </c:pt>
              </c:numCache>
            </c:numRef>
          </c:val>
          <c:smooth val="0"/>
          <c:extLst>
            <c:ext xmlns:c16="http://schemas.microsoft.com/office/drawing/2014/chart" uri="{C3380CC4-5D6E-409C-BE32-E72D297353CC}">
              <c16:uniqueId val="{00000000-768A-40BB-ABB5-96A04AF42E67}"/>
            </c:ext>
          </c:extLst>
        </c:ser>
        <c:dLbls>
          <c:showLegendKey val="0"/>
          <c:showVal val="0"/>
          <c:showCatName val="0"/>
          <c:showSerName val="0"/>
          <c:showPercent val="0"/>
          <c:showBubbleSize val="0"/>
        </c:dLbls>
        <c:marker val="1"/>
        <c:smooth val="0"/>
        <c:axId val="451195464"/>
        <c:axId val="1"/>
      </c:lineChart>
      <c:catAx>
        <c:axId val="45119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b="1"/>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ES"/>
                  <a:t>% </a:t>
                </a:r>
              </a:p>
            </c:rich>
          </c:tx>
          <c:overlay val="0"/>
        </c:title>
        <c:numFmt formatCode="0%" sourceLinked="0"/>
        <c:majorTickMark val="none"/>
        <c:minorTickMark val="none"/>
        <c:tickLblPos val="nextTo"/>
        <c:spPr>
          <a:ln w="6350">
            <a:noFill/>
          </a:ln>
        </c:spPr>
        <c:txPr>
          <a:bodyPr rot="0" vert="horz"/>
          <a:lstStyle/>
          <a:p>
            <a:pPr>
              <a:defRPr>
                <a:solidFill>
                  <a:sysClr val="windowText" lastClr="000000"/>
                </a:solidFill>
              </a:defRPr>
            </a:pPr>
            <a:endParaRPr lang="es-ES"/>
          </a:p>
        </c:txPr>
        <c:crossAx val="451195464"/>
        <c:crosses val="autoZero"/>
        <c:crossBetween val="between"/>
      </c:valAx>
      <c:spPr>
        <a:noFill/>
        <a:ln w="25400">
          <a:noFill/>
        </a:ln>
      </c:spPr>
    </c:plotArea>
    <c:legend>
      <c:legendPos val="r"/>
      <c:layout>
        <c:manualLayout>
          <c:xMode val="edge"/>
          <c:yMode val="edge"/>
          <c:x val="3.6006770534495282E-2"/>
          <c:y val="0.85323524321181676"/>
          <c:w val="0.9639932691735319"/>
          <c:h val="0.14676474651194915"/>
        </c:manualLayout>
      </c:layout>
      <c:overlay val="0"/>
      <c:spPr>
        <a:noFill/>
        <a:ln w="25400">
          <a:noFill/>
        </a:ln>
      </c:spPr>
    </c:legend>
    <c:plotVisOnly val="1"/>
    <c:dispBlanksAs val="gap"/>
    <c:showDLblsOverMax val="0"/>
  </c:chart>
  <c:spPr>
    <a:solidFill>
      <a:schemeClr val="bg1"/>
    </a:solidFill>
    <a:ln w="12700" cap="flat" cmpd="sng" algn="ctr">
      <a:solidFill>
        <a:schemeClr val="tx1">
          <a:lumMod val="15000"/>
          <a:lumOff val="85000"/>
        </a:schemeClr>
      </a:solidFill>
      <a:round/>
    </a:ln>
    <a:effectLst/>
  </c:spPr>
  <c:txPr>
    <a:bodyPr/>
    <a:lstStyle/>
    <a:p>
      <a:pPr>
        <a:defRPr sz="105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693841578604"/>
          <c:y val="9.0663036279343578E-2"/>
          <c:w val="0.76138259254070617"/>
          <c:h val="0.75585522604067024"/>
        </c:manualLayout>
      </c:layout>
      <c:barChart>
        <c:barDir val="col"/>
        <c:grouping val="clustered"/>
        <c:varyColors val="0"/>
        <c:ser>
          <c:idx val="0"/>
          <c:order val="0"/>
          <c:tx>
            <c:strRef>
              <c:f>'Figura 1.5-6'!$A$6</c:f>
              <c:strCache>
                <c:ptCount val="1"/>
                <c:pt idx="0">
                  <c:v>Recogida de vidrio (t)</c:v>
                </c:pt>
              </c:strCache>
            </c:strRef>
          </c:tx>
          <c:spPr>
            <a:solidFill>
              <a:srgbClr val="BF8B2E"/>
            </a:solidFill>
            <a:ln w="25400">
              <a:no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1.5-6'!$R$3:$V$3</c:f>
              <c:strCache>
                <c:ptCount val="5"/>
                <c:pt idx="0">
                  <c:v>2018</c:v>
                </c:pt>
                <c:pt idx="1">
                  <c:v>2019</c:v>
                </c:pt>
                <c:pt idx="2">
                  <c:v>2020</c:v>
                </c:pt>
                <c:pt idx="3">
                  <c:v>2021</c:v>
                </c:pt>
                <c:pt idx="4">
                  <c:v>2022</c:v>
                </c:pt>
              </c:strCache>
            </c:strRef>
          </c:cat>
          <c:val>
            <c:numRef>
              <c:f>'Figura 1.5-6'!$R$6:$V$6</c:f>
              <c:numCache>
                <c:formatCode>_-* #,##0\ _P_t_s_-;\-* #,##0\ _P_t_s_-;_-* \-??\ _P_t_s_-;_-@_-</c:formatCode>
                <c:ptCount val="5"/>
                <c:pt idx="0">
                  <c:v>18939.429</c:v>
                </c:pt>
                <c:pt idx="1">
                  <c:v>20549.075999999997</c:v>
                </c:pt>
                <c:pt idx="2">
                  <c:v>20131.969000000001</c:v>
                </c:pt>
                <c:pt idx="3">
                  <c:v>20490.534999999996</c:v>
                </c:pt>
                <c:pt idx="4">
                  <c:v>20597.630009999997</c:v>
                </c:pt>
              </c:numCache>
            </c:numRef>
          </c:val>
          <c:extLst>
            <c:ext xmlns:c16="http://schemas.microsoft.com/office/drawing/2014/chart" uri="{C3380CC4-5D6E-409C-BE32-E72D297353CC}">
              <c16:uniqueId val="{00000000-DC1A-4F98-924C-3D68E87E440E}"/>
            </c:ext>
          </c:extLst>
        </c:ser>
        <c:dLbls>
          <c:showLegendKey val="0"/>
          <c:showVal val="0"/>
          <c:showCatName val="0"/>
          <c:showSerName val="0"/>
          <c:showPercent val="0"/>
          <c:showBubbleSize val="0"/>
        </c:dLbls>
        <c:gapWidth val="49"/>
        <c:overlap val="-27"/>
        <c:axId val="535613824"/>
        <c:axId val="1"/>
      </c:barChart>
      <c:lineChart>
        <c:grouping val="standard"/>
        <c:varyColors val="0"/>
        <c:ser>
          <c:idx val="1"/>
          <c:order val="1"/>
          <c:tx>
            <c:strRef>
              <c:f>'Figura 1.5-6'!$A$4</c:f>
              <c:strCache>
                <c:ptCount val="1"/>
                <c:pt idx="0">
                  <c:v>Recogida de vidrio por habitante atendido (kg/hab año)</c:v>
                </c:pt>
              </c:strCache>
            </c:strRef>
          </c:tx>
          <c:spPr>
            <a:ln w="25400">
              <a:solidFill>
                <a:srgbClr val="FF0000"/>
              </a:solidFill>
              <a:prstDash val="solid"/>
            </a:ln>
          </c:spPr>
          <c:marker>
            <c:symbol val="diamond"/>
            <c:size val="6"/>
            <c:spPr>
              <a:solidFill>
                <a:srgbClr val="FF0000"/>
              </a:solidFill>
              <a:ln>
                <a:solidFill>
                  <a:srgbClr val="FF0000"/>
                </a:solidFill>
                <a:prstDash val="solid"/>
              </a:ln>
            </c:spPr>
          </c:marker>
          <c:dLbls>
            <c:dLbl>
              <c:idx val="0"/>
              <c:layout>
                <c:manualLayout>
                  <c:x val="-3.5921823198077199E-2"/>
                  <c:y val="-4.9820933598253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D5-4E66-91C3-3BA6B4E382AA}"/>
                </c:ext>
              </c:extLst>
            </c:dLbl>
            <c:dLbl>
              <c:idx val="1"/>
              <c:layout>
                <c:manualLayout>
                  <c:x val="-3.5921823198077234E-2"/>
                  <c:y val="-5.9166727990776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D5-4E66-91C3-3BA6B4E382AA}"/>
                </c:ext>
              </c:extLst>
            </c:dLbl>
            <c:dLbl>
              <c:idx val="2"/>
              <c:layout>
                <c:manualLayout>
                  <c:x val="-3.8034871621493542E-2"/>
                  <c:y val="-5.6051463193269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D5-4E66-91C3-3BA6B4E382AA}"/>
                </c:ext>
              </c:extLst>
            </c:dLbl>
            <c:dLbl>
              <c:idx val="3"/>
              <c:layout>
                <c:manualLayout>
                  <c:x val="-3.5921823198077157E-2"/>
                  <c:y val="-4.98209335982535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D5-4E66-91C3-3BA6B4E382AA}"/>
                </c:ext>
              </c:extLst>
            </c:dLbl>
            <c:dLbl>
              <c:idx val="4"/>
              <c:layout>
                <c:manualLayout>
                  <c:x val="-3.5921823198077317E-2"/>
                  <c:y val="-4.9820933598253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D5-4E66-91C3-3BA6B4E382AA}"/>
                </c:ext>
              </c:extLst>
            </c:dLbl>
            <c:numFmt formatCode="#,##0.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1.5-6'!$N$3:$Q$3</c:f>
              <c:strCache>
                <c:ptCount val="4"/>
                <c:pt idx="0">
                  <c:v>2014</c:v>
                </c:pt>
                <c:pt idx="1">
                  <c:v>2015</c:v>
                </c:pt>
                <c:pt idx="2">
                  <c:v>2016</c:v>
                </c:pt>
                <c:pt idx="3">
                  <c:v>2017</c:v>
                </c:pt>
              </c:strCache>
            </c:strRef>
          </c:cat>
          <c:val>
            <c:numRef>
              <c:f>'Figura 1.5-6'!$R$4:$V$4</c:f>
              <c:numCache>
                <c:formatCode>_-* #,##0.0\ _P_t_s_-;\-* #,##0.0\ _P_t_s_-;_-* \-??\ _P_t_s_-;_-@_-</c:formatCode>
                <c:ptCount val="5"/>
                <c:pt idx="0">
                  <c:v>14.471631232769528</c:v>
                </c:pt>
                <c:pt idx="1">
                  <c:v>15.575847936505287</c:v>
                </c:pt>
                <c:pt idx="2">
                  <c:v>15.143753041806361</c:v>
                </c:pt>
                <c:pt idx="3">
                  <c:v>15.449851122818206</c:v>
                </c:pt>
                <c:pt idx="4">
                  <c:v>15.529968378552605</c:v>
                </c:pt>
              </c:numCache>
            </c:numRef>
          </c:val>
          <c:smooth val="0"/>
          <c:extLst>
            <c:ext xmlns:c16="http://schemas.microsoft.com/office/drawing/2014/chart" uri="{C3380CC4-5D6E-409C-BE32-E72D297353CC}">
              <c16:uniqueId val="{00000001-DC1A-4F98-924C-3D68E87E440E}"/>
            </c:ext>
          </c:extLst>
        </c:ser>
        <c:dLbls>
          <c:showLegendKey val="0"/>
          <c:showVal val="0"/>
          <c:showCatName val="0"/>
          <c:showSerName val="0"/>
          <c:showPercent val="0"/>
          <c:showBubbleSize val="0"/>
        </c:dLbls>
        <c:marker val="1"/>
        <c:smooth val="0"/>
        <c:axId val="3"/>
        <c:axId val="4"/>
      </c:lineChart>
      <c:catAx>
        <c:axId val="53561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ES"/>
                  <a:t>Toneladas</a:t>
                </a:r>
              </a:p>
            </c:rich>
          </c:tx>
          <c:layout>
            <c:manualLayout>
              <c:xMode val="edge"/>
              <c:yMode val="edge"/>
              <c:x val="7.5969424563919405E-3"/>
              <c:y val="0.36061139416396482"/>
            </c:manualLayout>
          </c:layout>
          <c:overlay val="0"/>
          <c:spPr>
            <a:noFill/>
            <a:ln w="25400">
              <a:noFill/>
            </a:ln>
          </c:spPr>
        </c:title>
        <c:numFmt formatCode="_-* #,##0\ _P_t_s_-;\-* #,##0\ _P_t_s_-;_-* \-??\ _P_t_s_-;_-@_-" sourceLinked="1"/>
        <c:majorTickMark val="none"/>
        <c:minorTickMark val="none"/>
        <c:tickLblPos val="nextTo"/>
        <c:spPr>
          <a:ln w="6350">
            <a:noFill/>
          </a:ln>
        </c:spPr>
        <c:txPr>
          <a:bodyPr rot="0" vert="horz"/>
          <a:lstStyle/>
          <a:p>
            <a:pPr>
              <a:defRPr/>
            </a:pPr>
            <a:endParaRPr lang="es-ES"/>
          </a:p>
        </c:txPr>
        <c:crossAx val="5356138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title>
          <c:tx>
            <c:rich>
              <a:bodyPr/>
              <a:lstStyle/>
              <a:p>
                <a:pPr>
                  <a:defRPr/>
                </a:pPr>
                <a:r>
                  <a:rPr lang="es-ES"/>
                  <a:t>Kg/hab atendido</a:t>
                </a:r>
              </a:p>
            </c:rich>
          </c:tx>
          <c:overlay val="0"/>
          <c:spPr>
            <a:noFill/>
            <a:ln w="25400">
              <a:noFill/>
            </a:ln>
          </c:spPr>
        </c:title>
        <c:numFmt formatCode="0" sourceLinked="0"/>
        <c:majorTickMark val="out"/>
        <c:minorTickMark val="none"/>
        <c:tickLblPos val="nextTo"/>
        <c:spPr>
          <a:ln w="6350">
            <a:noFill/>
          </a:ln>
        </c:spPr>
        <c:txPr>
          <a:bodyPr rot="0" vert="horz"/>
          <a:lstStyle/>
          <a:p>
            <a:pPr>
              <a:defRPr/>
            </a:pPr>
            <a:endParaRPr lang="es-ES"/>
          </a:p>
        </c:txPr>
        <c:crossAx val="3"/>
        <c:crosses val="max"/>
        <c:crossBetween val="between"/>
      </c:valAx>
      <c:spPr>
        <a:noFill/>
        <a:ln w="25400">
          <a:noFill/>
        </a:ln>
      </c:spPr>
    </c:plotArea>
    <c:legend>
      <c:legendPos val="r"/>
      <c:layout>
        <c:manualLayout>
          <c:xMode val="edge"/>
          <c:yMode val="edge"/>
          <c:x val="3.8965611218390379E-2"/>
          <c:y val="0.91516716952437016"/>
          <c:w val="0.91573046420179849"/>
          <c:h val="6.169665809768643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41131422448846"/>
          <c:y val="6.9196428571428575E-2"/>
          <c:w val="0.79148419222927535"/>
          <c:h val="0.75148879827521564"/>
        </c:manualLayout>
      </c:layout>
      <c:barChart>
        <c:barDir val="col"/>
        <c:grouping val="clustered"/>
        <c:varyColors val="0"/>
        <c:ser>
          <c:idx val="0"/>
          <c:order val="0"/>
          <c:tx>
            <c:strRef>
              <c:f>'Figura 1.5-8'!$A$4</c:f>
              <c:strCache>
                <c:ptCount val="1"/>
                <c:pt idx="0">
                  <c:v>Recogida selectiva papel-cartón en contenedor (t)</c:v>
                </c:pt>
              </c:strCache>
            </c:strRef>
          </c:tx>
          <c:spPr>
            <a:solidFill>
              <a:srgbClr val="BF8B2E"/>
            </a:solidFill>
            <a:ln w="12700">
              <a:noFill/>
              <a:prstDash val="solid"/>
            </a:ln>
          </c:spPr>
          <c:invertIfNegative val="0"/>
          <c:dLbls>
            <c:numFmt formatCode="#,##0" sourceLinked="0"/>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1.5-8'!$S$3:$W$3</c:f>
              <c:strCache>
                <c:ptCount val="5"/>
                <c:pt idx="0">
                  <c:v>2.018</c:v>
                </c:pt>
                <c:pt idx="1">
                  <c:v>2.019</c:v>
                </c:pt>
                <c:pt idx="2">
                  <c:v>2.020</c:v>
                </c:pt>
                <c:pt idx="3">
                  <c:v>2.021</c:v>
                </c:pt>
                <c:pt idx="4">
                  <c:v>2.022</c:v>
                </c:pt>
              </c:strCache>
            </c:strRef>
          </c:cat>
          <c:val>
            <c:numRef>
              <c:f>'Figura 1.5-8'!$S$4:$W$4</c:f>
              <c:numCache>
                <c:formatCode>#,##0</c:formatCode>
                <c:ptCount val="5"/>
                <c:pt idx="0">
                  <c:v>25825.708255000001</c:v>
                </c:pt>
                <c:pt idx="1">
                  <c:v>26469.843002000001</c:v>
                </c:pt>
                <c:pt idx="2">
                  <c:v>27126.023474000001</c:v>
                </c:pt>
                <c:pt idx="3">
                  <c:v>27524.228754000003</c:v>
                </c:pt>
                <c:pt idx="4">
                  <c:v>26374.992748000004</c:v>
                </c:pt>
              </c:numCache>
            </c:numRef>
          </c:val>
          <c:extLst>
            <c:ext xmlns:c16="http://schemas.microsoft.com/office/drawing/2014/chart" uri="{C3380CC4-5D6E-409C-BE32-E72D297353CC}">
              <c16:uniqueId val="{00000000-8C48-4F6C-8BFB-FFEDEEB9BCED}"/>
            </c:ext>
          </c:extLst>
        </c:ser>
        <c:dLbls>
          <c:showLegendKey val="0"/>
          <c:showVal val="0"/>
          <c:showCatName val="0"/>
          <c:showSerName val="0"/>
          <c:showPercent val="0"/>
          <c:showBubbleSize val="0"/>
        </c:dLbls>
        <c:gapWidth val="75"/>
        <c:axId val="535619072"/>
        <c:axId val="1"/>
      </c:barChart>
      <c:lineChart>
        <c:grouping val="standard"/>
        <c:varyColors val="0"/>
        <c:ser>
          <c:idx val="0"/>
          <c:order val="1"/>
          <c:tx>
            <c:strRef>
              <c:f>'Figura 1.5-8'!$A$5</c:f>
              <c:strCache>
                <c:ptCount val="1"/>
                <c:pt idx="0">
                  <c:v>Recogida de papel-cartón por habitante atendido (kg/hab año)</c:v>
                </c:pt>
              </c:strCache>
            </c:strRef>
          </c:tx>
          <c:spPr>
            <a:ln w="25400">
              <a:solidFill>
                <a:srgbClr val="FF0000"/>
              </a:solidFill>
              <a:prstDash val="solid"/>
            </a:ln>
          </c:spPr>
          <c:marker>
            <c:symbol val="circle"/>
            <c:size val="6"/>
            <c:spPr>
              <a:solidFill>
                <a:srgbClr val="FF0000"/>
              </a:solidFill>
              <a:ln>
                <a:solidFill>
                  <a:srgbClr val="FF0000"/>
                </a:solidFill>
                <a:prstDash val="solid"/>
              </a:ln>
            </c:spPr>
          </c:marker>
          <c:dLbls>
            <c:dLbl>
              <c:idx val="0"/>
              <c:layout>
                <c:manualLayout>
                  <c:x val="-3.6954022988505746E-2"/>
                  <c:y val="-7.7113095238095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B-4A6B-8552-8D91A82AA910}"/>
                </c:ext>
              </c:extLst>
            </c:dLbl>
            <c:dLbl>
              <c:idx val="1"/>
              <c:layout>
                <c:manualLayout>
                  <c:x val="-3.5038314176245214E-2"/>
                  <c:y val="-7.7113095238095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B-4A6B-8552-8D91A82AA910}"/>
                </c:ext>
              </c:extLst>
            </c:dLbl>
            <c:dLbl>
              <c:idx val="2"/>
              <c:layout>
                <c:manualLayout>
                  <c:x val="-3.5038314176245283E-2"/>
                  <c:y val="-7.7113095238095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B-4A6B-8552-8D91A82AA910}"/>
                </c:ext>
              </c:extLst>
            </c:dLbl>
            <c:dLbl>
              <c:idx val="3"/>
              <c:layout>
                <c:manualLayout>
                  <c:x val="-3.5038314176245214E-2"/>
                  <c:y val="-8.3065476190476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B-4A6B-8552-8D91A82AA910}"/>
                </c:ext>
              </c:extLst>
            </c:dLbl>
            <c:dLbl>
              <c:idx val="4"/>
              <c:layout>
                <c:manualLayout>
                  <c:x val="-3.5038314176245214E-2"/>
                  <c:y val="-9.19940476190476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B-4A6B-8552-8D91A82AA910}"/>
                </c:ext>
              </c:extLst>
            </c:dLbl>
            <c:numFmt formatCode="#,##0.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1.5-8'!$S$3:$W$3</c:f>
              <c:strCache>
                <c:ptCount val="5"/>
                <c:pt idx="0">
                  <c:v>2.018</c:v>
                </c:pt>
                <c:pt idx="1">
                  <c:v>2.019</c:v>
                </c:pt>
                <c:pt idx="2">
                  <c:v>2.020</c:v>
                </c:pt>
                <c:pt idx="3">
                  <c:v>2.021</c:v>
                </c:pt>
                <c:pt idx="4">
                  <c:v>2.022</c:v>
                </c:pt>
              </c:strCache>
            </c:strRef>
          </c:cat>
          <c:val>
            <c:numRef>
              <c:f>'Figura 1.5-8'!$S$5:$W$5</c:f>
              <c:numCache>
                <c:formatCode>#,##0</c:formatCode>
                <c:ptCount val="5"/>
                <c:pt idx="0">
                  <c:v>19.744651700898714</c:v>
                </c:pt>
                <c:pt idx="1">
                  <c:v>20.100000000000001</c:v>
                </c:pt>
                <c:pt idx="2">
                  <c:v>20.415676445751672</c:v>
                </c:pt>
                <c:pt idx="3">
                  <c:v>20.762707664199716</c:v>
                </c:pt>
                <c:pt idx="4">
                  <c:v>19.885919067491511</c:v>
                </c:pt>
              </c:numCache>
            </c:numRef>
          </c:val>
          <c:smooth val="0"/>
          <c:extLst>
            <c:ext xmlns:c16="http://schemas.microsoft.com/office/drawing/2014/chart" uri="{C3380CC4-5D6E-409C-BE32-E72D297353CC}">
              <c16:uniqueId val="{00000006-8C48-4F6C-8BFB-FFEDEEB9BCED}"/>
            </c:ext>
          </c:extLst>
        </c:ser>
        <c:dLbls>
          <c:showLegendKey val="0"/>
          <c:showVal val="0"/>
          <c:showCatName val="0"/>
          <c:showSerName val="0"/>
          <c:showPercent val="0"/>
          <c:showBubbleSize val="0"/>
        </c:dLbls>
        <c:marker val="1"/>
        <c:smooth val="0"/>
        <c:axId val="3"/>
        <c:axId val="4"/>
      </c:lineChart>
      <c:catAx>
        <c:axId val="535619072"/>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a:pPr>
            <a:endParaRPr lang="es-ES"/>
          </a:p>
        </c:txPr>
        <c:crossAx val="1"/>
        <c:crosses val="autoZero"/>
        <c:auto val="1"/>
        <c:lblAlgn val="ctr"/>
        <c:lblOffset val="100"/>
        <c:tickLblSkip val="1"/>
        <c:tickMarkSkip val="1"/>
        <c:noMultiLvlLbl val="0"/>
      </c:catAx>
      <c:valAx>
        <c:axId val="1"/>
        <c:scaling>
          <c:orientation val="minMax"/>
          <c:max val="30000"/>
          <c:min val="0"/>
        </c:scaling>
        <c:delete val="0"/>
        <c:axPos val="l"/>
        <c:majorGridlines>
          <c:spPr>
            <a:ln w="3175">
              <a:solidFill>
                <a:schemeClr val="bg1">
                  <a:lumMod val="85000"/>
                </a:schemeClr>
              </a:solidFill>
              <a:prstDash val="sysDash"/>
            </a:ln>
          </c:spPr>
        </c:majorGridlines>
        <c:title>
          <c:tx>
            <c:rich>
              <a:bodyPr/>
              <a:lstStyle/>
              <a:p>
                <a:pPr>
                  <a:defRPr/>
                </a:pPr>
                <a:r>
                  <a:rPr lang="es-ES"/>
                  <a:t>toneladas</a:t>
                </a:r>
              </a:p>
            </c:rich>
          </c:tx>
          <c:layout>
            <c:manualLayout>
              <c:xMode val="edge"/>
              <c:yMode val="edge"/>
              <c:x val="3.4263338228095936E-3"/>
              <c:y val="0.35937546869141357"/>
            </c:manualLayout>
          </c:layout>
          <c:overlay val="0"/>
          <c:spPr>
            <a:noFill/>
            <a:ln w="25400">
              <a:noFill/>
            </a:ln>
          </c:spPr>
        </c:title>
        <c:numFmt formatCode="#,##0" sourceLinked="0"/>
        <c:majorTickMark val="out"/>
        <c:minorTickMark val="none"/>
        <c:tickLblPos val="nextTo"/>
        <c:spPr>
          <a:ln w="3175">
            <a:noFill/>
            <a:prstDash val="solid"/>
          </a:ln>
        </c:spPr>
        <c:txPr>
          <a:bodyPr rot="0" vert="horz"/>
          <a:lstStyle/>
          <a:p>
            <a:pPr>
              <a:defRPr/>
            </a:pPr>
            <a:endParaRPr lang="es-ES"/>
          </a:p>
        </c:txPr>
        <c:crossAx val="535619072"/>
        <c:crossesAt val="1"/>
        <c:crossBetween val="between"/>
        <c:majorUnit val="50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5"/>
          <c:min val="0"/>
        </c:scaling>
        <c:delete val="0"/>
        <c:axPos val="r"/>
        <c:title>
          <c:tx>
            <c:rich>
              <a:bodyPr/>
              <a:lstStyle/>
              <a:p>
                <a:pPr>
                  <a:defRPr/>
                </a:pPr>
                <a:r>
                  <a:rPr lang="es-ES"/>
                  <a:t>kg/ hab. atendido</a:t>
                </a:r>
              </a:p>
            </c:rich>
          </c:tx>
          <c:layout>
            <c:manualLayout>
              <c:xMode val="edge"/>
              <c:yMode val="edge"/>
              <c:x val="0.96280119170125755"/>
              <c:y val="0.38318475815523062"/>
            </c:manualLayout>
          </c:layout>
          <c:overlay val="0"/>
          <c:spPr>
            <a:noFill/>
            <a:ln w="25400">
              <a:noFill/>
            </a:ln>
          </c:spPr>
        </c:title>
        <c:numFmt formatCode="0" sourceLinked="0"/>
        <c:majorTickMark val="cross"/>
        <c:minorTickMark val="none"/>
        <c:tickLblPos val="nextTo"/>
        <c:spPr>
          <a:ln w="3175">
            <a:noFill/>
            <a:prstDash val="solid"/>
          </a:ln>
        </c:spPr>
        <c:txPr>
          <a:bodyPr rot="0" vert="horz"/>
          <a:lstStyle/>
          <a:p>
            <a:pPr>
              <a:defRPr/>
            </a:pPr>
            <a:endParaRPr lang="es-ES"/>
          </a:p>
        </c:txPr>
        <c:crossAx val="3"/>
        <c:crosses val="max"/>
        <c:crossBetween val="between"/>
      </c:valAx>
      <c:spPr>
        <a:noFill/>
        <a:ln w="25400">
          <a:noFill/>
        </a:ln>
      </c:spPr>
    </c:plotArea>
    <c:legend>
      <c:legendPos val="r"/>
      <c:layout>
        <c:manualLayout>
          <c:xMode val="edge"/>
          <c:yMode val="edge"/>
          <c:x val="8.2029746281714791E-2"/>
          <c:y val="0.8980664135733033"/>
          <c:w val="0.85166410233203604"/>
          <c:h val="7.9613329583802017E-2"/>
        </c:manualLayout>
      </c:layout>
      <c:overlay val="0"/>
      <c:spPr>
        <a:solidFill>
          <a:srgbClr val="FFFFFF"/>
        </a:solidFill>
        <a:ln w="3175">
          <a:noFill/>
          <a:prstDash val="solid"/>
        </a:ln>
      </c:spPr>
    </c:legend>
    <c:plotVisOnly val="1"/>
    <c:dispBlanksAs val="gap"/>
    <c:showDLblsOverMax val="0"/>
  </c:chart>
  <c:spPr>
    <a:solidFill>
      <a:srgbClr val="FFFFFF"/>
    </a:solidFill>
    <a:ln w="6350">
      <a:solidFill>
        <a:schemeClr val="bg1">
          <a:lumMod val="85000"/>
        </a:schemeClr>
      </a:solidFill>
    </a:ln>
  </c:spPr>
  <c:txPr>
    <a:bodyPr/>
    <a:lstStyle/>
    <a:p>
      <a:pPr>
        <a:defRPr sz="10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 r="0.75" t="1"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29788118165359"/>
          <c:y val="5.3804455347604162E-2"/>
          <c:w val="0.771645741374412"/>
          <c:h val="0.76786678524688534"/>
        </c:manualLayout>
      </c:layout>
      <c:barChart>
        <c:barDir val="col"/>
        <c:grouping val="clustered"/>
        <c:varyColors val="0"/>
        <c:ser>
          <c:idx val="1"/>
          <c:order val="0"/>
          <c:tx>
            <c:strRef>
              <c:f>'Figura 1.5-11'!$A$4</c:f>
              <c:strCache>
                <c:ptCount val="1"/>
                <c:pt idx="0">
                  <c:v>Recogida selectiva de envases ligeros (t)</c:v>
                </c:pt>
              </c:strCache>
            </c:strRef>
          </c:tx>
          <c:spPr>
            <a:solidFill>
              <a:srgbClr val="BF8B2E"/>
            </a:solidFill>
            <a:ln w="25400">
              <a:no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1.5-11'!$R$3:$V$3</c:f>
              <c:strCache>
                <c:ptCount val="5"/>
                <c:pt idx="0">
                  <c:v>2.018</c:v>
                </c:pt>
                <c:pt idx="1">
                  <c:v>2.019</c:v>
                </c:pt>
                <c:pt idx="2">
                  <c:v>2.020</c:v>
                </c:pt>
                <c:pt idx="3">
                  <c:v>2.021</c:v>
                </c:pt>
                <c:pt idx="4">
                  <c:v>2.022</c:v>
                </c:pt>
              </c:strCache>
            </c:strRef>
          </c:cat>
          <c:val>
            <c:numRef>
              <c:f>'Figura 1.5-11'!$R$4:$V$4</c:f>
              <c:numCache>
                <c:formatCode>#,##0</c:formatCode>
                <c:ptCount val="5"/>
                <c:pt idx="0">
                  <c:v>20384.833175</c:v>
                </c:pt>
                <c:pt idx="1">
                  <c:v>22113.582004</c:v>
                </c:pt>
                <c:pt idx="2">
                  <c:v>24200.626012999997</c:v>
                </c:pt>
                <c:pt idx="3">
                  <c:v>24291.456008999998</c:v>
                </c:pt>
                <c:pt idx="4">
                  <c:v>24482.137999000006</c:v>
                </c:pt>
              </c:numCache>
            </c:numRef>
          </c:val>
          <c:extLst>
            <c:ext xmlns:c16="http://schemas.microsoft.com/office/drawing/2014/chart" uri="{C3380CC4-5D6E-409C-BE32-E72D297353CC}">
              <c16:uniqueId val="{00000000-F0CA-4A99-B781-04830450D599}"/>
            </c:ext>
          </c:extLst>
        </c:ser>
        <c:dLbls>
          <c:showLegendKey val="0"/>
          <c:showVal val="0"/>
          <c:showCatName val="0"/>
          <c:showSerName val="0"/>
          <c:showPercent val="0"/>
          <c:showBubbleSize val="0"/>
        </c:dLbls>
        <c:gapWidth val="90"/>
        <c:overlap val="-27"/>
        <c:axId val="535615464"/>
        <c:axId val="1"/>
      </c:barChart>
      <c:lineChart>
        <c:grouping val="standard"/>
        <c:varyColors val="0"/>
        <c:ser>
          <c:idx val="2"/>
          <c:order val="1"/>
          <c:tx>
            <c:strRef>
              <c:f>'Figura 1.5-11'!$A$5</c:f>
              <c:strCache>
                <c:ptCount val="1"/>
                <c:pt idx="0">
                  <c:v>Recogida de envases ligeros por habitante atendido (kg/habitante atendido*año)</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1.5-11'!$R$3:$V$3</c:f>
              <c:strCache>
                <c:ptCount val="5"/>
                <c:pt idx="0">
                  <c:v>2.018</c:v>
                </c:pt>
                <c:pt idx="1">
                  <c:v>2.019</c:v>
                </c:pt>
                <c:pt idx="2">
                  <c:v>2.020</c:v>
                </c:pt>
                <c:pt idx="3">
                  <c:v>2.021</c:v>
                </c:pt>
                <c:pt idx="4">
                  <c:v>2.022</c:v>
                </c:pt>
              </c:strCache>
            </c:strRef>
          </c:cat>
          <c:val>
            <c:numRef>
              <c:f>'Figura 1.5-11'!$R$5:$V$5</c:f>
              <c:numCache>
                <c:formatCode>#,##0.0</c:formatCode>
                <c:ptCount val="5"/>
                <c:pt idx="0">
                  <c:v>15.583078843303349</c:v>
                </c:pt>
                <c:pt idx="1">
                  <c:v>16.767690235445144</c:v>
                </c:pt>
                <c:pt idx="2">
                  <c:v>18.210733379185065</c:v>
                </c:pt>
                <c:pt idx="3">
                  <c:v>18.32093734298223</c:v>
                </c:pt>
                <c:pt idx="4">
                  <c:v>18.460241182950806</c:v>
                </c:pt>
              </c:numCache>
            </c:numRef>
          </c:val>
          <c:smooth val="0"/>
          <c:extLst>
            <c:ext xmlns:c16="http://schemas.microsoft.com/office/drawing/2014/chart" uri="{C3380CC4-5D6E-409C-BE32-E72D297353CC}">
              <c16:uniqueId val="{00000001-F0CA-4A99-B781-04830450D599}"/>
            </c:ext>
          </c:extLst>
        </c:ser>
        <c:dLbls>
          <c:showLegendKey val="0"/>
          <c:showVal val="0"/>
          <c:showCatName val="0"/>
          <c:showSerName val="0"/>
          <c:showPercent val="0"/>
          <c:showBubbleSize val="0"/>
        </c:dLbls>
        <c:marker val="1"/>
        <c:smooth val="0"/>
        <c:axId val="3"/>
        <c:axId val="4"/>
      </c:lineChart>
      <c:catAx>
        <c:axId val="53561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ES"/>
                  <a:t>tonealdas</a:t>
                </a:r>
              </a:p>
            </c:rich>
          </c:tx>
          <c:layout>
            <c:manualLayout>
              <c:xMode val="edge"/>
              <c:yMode val="edge"/>
              <c:x val="2.2829133434249679E-4"/>
              <c:y val="0.38433743520753377"/>
            </c:manualLayout>
          </c:layout>
          <c:overlay val="0"/>
          <c:spPr>
            <a:noFill/>
            <a:ln w="25400">
              <a:noFill/>
            </a:ln>
          </c:spPr>
        </c:title>
        <c:numFmt formatCode="#,##0" sourceLinked="1"/>
        <c:majorTickMark val="none"/>
        <c:minorTickMark val="none"/>
        <c:tickLblPos val="nextTo"/>
        <c:spPr>
          <a:ln w="6350">
            <a:noFill/>
          </a:ln>
        </c:spPr>
        <c:txPr>
          <a:bodyPr rot="0" vert="horz"/>
          <a:lstStyle/>
          <a:p>
            <a:pPr>
              <a:defRPr/>
            </a:pPr>
            <a:endParaRPr lang="es-ES"/>
          </a:p>
        </c:txPr>
        <c:crossAx val="535615464"/>
        <c:crosses val="autoZero"/>
        <c:crossBetween val="between"/>
        <c:majorUnit val="2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a:pPr>
                <a:r>
                  <a:rPr lang="es-ES"/>
                  <a:t>Kg/hab atendido</a:t>
                </a:r>
              </a:p>
            </c:rich>
          </c:tx>
          <c:layout>
            <c:manualLayout>
              <c:xMode val="edge"/>
              <c:yMode val="edge"/>
              <c:x val="0.96185058450892347"/>
              <c:y val="0.32861736504042521"/>
            </c:manualLayout>
          </c:layout>
          <c:overlay val="0"/>
          <c:spPr>
            <a:noFill/>
            <a:ln w="25400">
              <a:noFill/>
            </a:ln>
          </c:spPr>
        </c:title>
        <c:numFmt formatCode="0" sourceLinked="0"/>
        <c:majorTickMark val="out"/>
        <c:minorTickMark val="none"/>
        <c:tickLblPos val="nextTo"/>
        <c:spPr>
          <a:ln w="6350">
            <a:noFill/>
          </a:ln>
        </c:spPr>
        <c:txPr>
          <a:bodyPr rot="0" vert="horz"/>
          <a:lstStyle/>
          <a:p>
            <a:pPr>
              <a:defRPr/>
            </a:pPr>
            <a:endParaRPr lang="es-ES"/>
          </a:p>
        </c:txPr>
        <c:crossAx val="3"/>
        <c:crosses val="max"/>
        <c:crossBetween val="between"/>
      </c:valAx>
      <c:spPr>
        <a:noFill/>
        <a:ln w="25400">
          <a:noFill/>
        </a:ln>
      </c:spPr>
    </c:plotArea>
    <c:legend>
      <c:legendPos val="r"/>
      <c:layout>
        <c:manualLayout>
          <c:xMode val="edge"/>
          <c:yMode val="edge"/>
          <c:x val="6.4620355411954766E-2"/>
          <c:y val="0.90790303222147473"/>
          <c:w val="0.85634606659627965"/>
          <c:h val="7.7951964547145175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0132995120576"/>
          <c:y val="5.0925893522568939E-2"/>
          <c:w val="0.72571016261343702"/>
          <c:h val="0.80000081807955825"/>
        </c:manualLayout>
      </c:layout>
      <c:barChart>
        <c:barDir val="col"/>
        <c:grouping val="clustered"/>
        <c:varyColors val="0"/>
        <c:ser>
          <c:idx val="0"/>
          <c:order val="0"/>
          <c:tx>
            <c:strRef>
              <c:f>'Figura 1.5-12'!$A$4</c:f>
              <c:strCache>
                <c:ptCount val="1"/>
                <c:pt idx="0">
                  <c:v>Recogida selectiva anual de envases farmacéuticos (t)</c:v>
                </c:pt>
              </c:strCache>
            </c:strRef>
          </c:tx>
          <c:spPr>
            <a:solidFill>
              <a:srgbClr val="BF8B2E"/>
            </a:solidFill>
            <a:ln w="25400">
              <a:no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1.5-12'!$Q$3:$U$3</c:f>
              <c:strCache>
                <c:ptCount val="5"/>
                <c:pt idx="0">
                  <c:v>2.018</c:v>
                </c:pt>
                <c:pt idx="1">
                  <c:v>2.019</c:v>
                </c:pt>
                <c:pt idx="2">
                  <c:v>2.020</c:v>
                </c:pt>
                <c:pt idx="3">
                  <c:v>2.021</c:v>
                </c:pt>
                <c:pt idx="4">
                  <c:v>2.022</c:v>
                </c:pt>
              </c:strCache>
            </c:strRef>
          </c:cat>
          <c:val>
            <c:numRef>
              <c:f>'Figura 1.5-12'!$Q$4:$U$4</c:f>
              <c:numCache>
                <c:formatCode>#,##0</c:formatCode>
                <c:ptCount val="5"/>
                <c:pt idx="0">
                  <c:v>167.477</c:v>
                </c:pt>
                <c:pt idx="1">
                  <c:v>178.565</c:v>
                </c:pt>
                <c:pt idx="2">
                  <c:v>137.505</c:v>
                </c:pt>
                <c:pt idx="3">
                  <c:v>145.58199999999999</c:v>
                </c:pt>
                <c:pt idx="4">
                  <c:v>156.22200000000001</c:v>
                </c:pt>
              </c:numCache>
            </c:numRef>
          </c:val>
          <c:extLst>
            <c:ext xmlns:c16="http://schemas.microsoft.com/office/drawing/2014/chart" uri="{C3380CC4-5D6E-409C-BE32-E72D297353CC}">
              <c16:uniqueId val="{00000000-268C-4A0B-950C-A8C3E30596DF}"/>
            </c:ext>
          </c:extLst>
        </c:ser>
        <c:dLbls>
          <c:showLegendKey val="0"/>
          <c:showVal val="0"/>
          <c:showCatName val="0"/>
          <c:showSerName val="0"/>
          <c:showPercent val="0"/>
          <c:showBubbleSize val="0"/>
        </c:dLbls>
        <c:gapWidth val="90"/>
        <c:overlap val="-27"/>
        <c:axId val="535626288"/>
        <c:axId val="1"/>
      </c:barChart>
      <c:lineChart>
        <c:grouping val="standard"/>
        <c:varyColors val="0"/>
        <c:ser>
          <c:idx val="1"/>
          <c:order val="1"/>
          <c:tx>
            <c:strRef>
              <c:f>'Figura 1.5-12'!$A$5</c:f>
              <c:strCache>
                <c:ptCount val="1"/>
                <c:pt idx="0">
                  <c:v>kg / hab. año</c:v>
                </c:pt>
              </c:strCache>
            </c:strRef>
          </c:tx>
          <c:spPr>
            <a:ln w="25400">
              <a:solidFill>
                <a:srgbClr val="FF0000"/>
              </a:solidFill>
              <a:prstDash val="solid"/>
            </a:ln>
          </c:spPr>
          <c:marker>
            <c:symbol val="diamond"/>
            <c:size val="5"/>
            <c:spPr>
              <a:solidFill>
                <a:srgbClr val="FF0000"/>
              </a:solidFill>
              <a:ln>
                <a:solidFill>
                  <a:srgbClr val="FF0000"/>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'Figura 1.5-12'!$Q$3:$U$3</c:f>
              <c:strCache>
                <c:ptCount val="5"/>
                <c:pt idx="0">
                  <c:v>2.018</c:v>
                </c:pt>
                <c:pt idx="1">
                  <c:v>2.019</c:v>
                </c:pt>
                <c:pt idx="2">
                  <c:v>2.020</c:v>
                </c:pt>
                <c:pt idx="3">
                  <c:v>2.021</c:v>
                </c:pt>
                <c:pt idx="4">
                  <c:v>2.022</c:v>
                </c:pt>
              </c:strCache>
            </c:strRef>
          </c:cat>
          <c:val>
            <c:numRef>
              <c:f>'Figura 1.5-12'!$Q$5:$U$5</c:f>
              <c:numCache>
                <c:formatCode>#,##0.000</c:formatCode>
                <c:ptCount val="5"/>
                <c:pt idx="0">
                  <c:v>0.12796929537688503</c:v>
                </c:pt>
                <c:pt idx="1">
                  <c:v>0.13534921408544437</c:v>
                </c:pt>
                <c:pt idx="2">
                  <c:v>0.10343458019499153</c:v>
                </c:pt>
                <c:pt idx="3">
                  <c:v>0.10976874084361976</c:v>
                </c:pt>
                <c:pt idx="4">
                  <c:v>0.11778649868243969</c:v>
                </c:pt>
              </c:numCache>
            </c:numRef>
          </c:val>
          <c:smooth val="0"/>
          <c:extLst>
            <c:ext xmlns:c16="http://schemas.microsoft.com/office/drawing/2014/chart" uri="{C3380CC4-5D6E-409C-BE32-E72D297353CC}">
              <c16:uniqueId val="{00000001-268C-4A0B-950C-A8C3E30596DF}"/>
            </c:ext>
          </c:extLst>
        </c:ser>
        <c:dLbls>
          <c:showLegendKey val="0"/>
          <c:showVal val="0"/>
          <c:showCatName val="0"/>
          <c:showSerName val="0"/>
          <c:showPercent val="0"/>
          <c:showBubbleSize val="0"/>
        </c:dLbls>
        <c:marker val="1"/>
        <c:smooth val="0"/>
        <c:axId val="3"/>
        <c:axId val="4"/>
      </c:lineChart>
      <c:catAx>
        <c:axId val="53562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bg1">
                  <a:lumMod val="75000"/>
                </a:schemeClr>
              </a:solidFill>
              <a:round/>
            </a:ln>
            <a:effectLst/>
          </c:spPr>
        </c:majorGridlines>
        <c:title>
          <c:tx>
            <c:rich>
              <a:bodyPr/>
              <a:lstStyle/>
              <a:p>
                <a:pPr>
                  <a:defRPr/>
                </a:pPr>
                <a:r>
                  <a:rPr lang="es-ES"/>
                  <a:t>Toneladas</a:t>
                </a:r>
              </a:p>
            </c:rich>
          </c:tx>
          <c:layout>
            <c:manualLayout>
              <c:xMode val="edge"/>
              <c:yMode val="edge"/>
              <c:x val="1.2368546213602491E-2"/>
              <c:y val="0.36577272285408768"/>
            </c:manualLayout>
          </c:layout>
          <c:overlay val="0"/>
          <c:spPr>
            <a:noFill/>
            <a:ln w="25400">
              <a:noFill/>
            </a:ln>
          </c:spPr>
        </c:title>
        <c:numFmt formatCode="#,##0" sourceLinked="1"/>
        <c:majorTickMark val="none"/>
        <c:minorTickMark val="none"/>
        <c:tickLblPos val="nextTo"/>
        <c:spPr>
          <a:ln w="6350">
            <a:noFill/>
          </a:ln>
        </c:spPr>
        <c:txPr>
          <a:bodyPr rot="0" vert="horz"/>
          <a:lstStyle/>
          <a:p>
            <a:pPr>
              <a:defRPr/>
            </a:pPr>
            <a:endParaRPr lang="es-ES"/>
          </a:p>
        </c:txPr>
        <c:crossAx val="5356262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title>
          <c:tx>
            <c:rich>
              <a:bodyPr/>
              <a:lstStyle/>
              <a:p>
                <a:pPr>
                  <a:defRPr/>
                </a:pPr>
                <a:r>
                  <a:rPr lang="es-ES"/>
                  <a:t>Kg/hab año</a:t>
                </a:r>
              </a:p>
            </c:rich>
          </c:tx>
          <c:layout>
            <c:manualLayout>
              <c:xMode val="edge"/>
              <c:yMode val="edge"/>
              <c:x val="0.9570742834997974"/>
              <c:y val="0.36458598230776706"/>
            </c:manualLayout>
          </c:layout>
          <c:overlay val="0"/>
          <c:spPr>
            <a:noFill/>
            <a:ln w="25400">
              <a:noFill/>
            </a:ln>
          </c:spPr>
        </c:title>
        <c:numFmt formatCode="#,##0.000" sourceLinked="1"/>
        <c:majorTickMark val="out"/>
        <c:minorTickMark val="none"/>
        <c:tickLblPos val="nextTo"/>
        <c:spPr>
          <a:ln w="6350">
            <a:noFill/>
          </a:ln>
        </c:spPr>
        <c:txPr>
          <a:bodyPr rot="0" vert="horz"/>
          <a:lstStyle/>
          <a:p>
            <a:pPr>
              <a:defRPr/>
            </a:pPr>
            <a:endParaRPr lang="es-ES"/>
          </a:p>
        </c:txPr>
        <c:crossAx val="3"/>
        <c:crosses val="max"/>
        <c:crossBetween val="between"/>
      </c:valAx>
      <c:spPr>
        <a:noFill/>
        <a:ln w="25400">
          <a:noFill/>
        </a:ln>
      </c:spPr>
    </c:plotArea>
    <c:legend>
      <c:legendPos val="r"/>
      <c:layout>
        <c:manualLayout>
          <c:xMode val="edge"/>
          <c:yMode val="edge"/>
          <c:x val="3.1073209944697873E-2"/>
          <c:y val="0.9251563212718068"/>
          <c:w val="0.90000174978127723"/>
          <c:h val="7.4766682202107915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Segoe UI" panose="020B0502040204020203" pitchFamily="34" charset="0"/>
          <a:ea typeface="Calibri"/>
          <a:cs typeface="Segoe UI" panose="020B0502040204020203"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133350</xdr:colOff>
      <xdr:row>14</xdr:row>
      <xdr:rowOff>19049</xdr:rowOff>
    </xdr:from>
    <xdr:to>
      <xdr:col>3</xdr:col>
      <xdr:colOff>409575</xdr:colOff>
      <xdr:row>38</xdr:row>
      <xdr:rowOff>104774</xdr:rowOff>
    </xdr:to>
    <xdr:graphicFrame macro="">
      <xdr:nvGraphicFramePr>
        <xdr:cNvPr id="5" name="Gráfico 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323850</xdr:colOff>
      <xdr:row>8</xdr:row>
      <xdr:rowOff>114300</xdr:rowOff>
    </xdr:from>
    <xdr:to>
      <xdr:col>8</xdr:col>
      <xdr:colOff>542925</xdr:colOff>
      <xdr:row>30</xdr:row>
      <xdr:rowOff>133350</xdr:rowOff>
    </xdr:to>
    <xdr:graphicFrame macro="">
      <xdr:nvGraphicFramePr>
        <xdr:cNvPr id="4" name="Gráfico 1">
          <a:extLst>
            <a:ext uri="{FF2B5EF4-FFF2-40B4-BE49-F238E27FC236}">
              <a16:creationId xmlns:a16="http://schemas.microsoft.com/office/drawing/2014/main" id="{00000000-0008-0000-2000-0000727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9524</xdr:rowOff>
    </xdr:from>
    <xdr:to>
      <xdr:col>10</xdr:col>
      <xdr:colOff>581025</xdr:colOff>
      <xdr:row>35</xdr:row>
      <xdr:rowOff>19050</xdr:rowOff>
    </xdr:to>
    <xdr:graphicFrame macro="">
      <xdr:nvGraphicFramePr>
        <xdr:cNvPr id="2" name="Gráfico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7</xdr:row>
      <xdr:rowOff>0</xdr:rowOff>
    </xdr:from>
    <xdr:to>
      <xdr:col>2</xdr:col>
      <xdr:colOff>400049</xdr:colOff>
      <xdr:row>27</xdr:row>
      <xdr:rowOff>152400</xdr:rowOff>
    </xdr:to>
    <xdr:graphicFrame macro="">
      <xdr:nvGraphicFramePr>
        <xdr:cNvPr id="6" name="Gráfico 1">
          <a:extLst>
            <a:ext uri="{FF2B5EF4-FFF2-40B4-BE49-F238E27FC236}">
              <a16:creationId xmlns:a16="http://schemas.microsoft.com/office/drawing/2014/main" id="{00000000-0008-0000-2400-0000749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8</xdr:row>
      <xdr:rowOff>85724</xdr:rowOff>
    </xdr:from>
    <xdr:to>
      <xdr:col>14</xdr:col>
      <xdr:colOff>485775</xdr:colOff>
      <xdr:row>32</xdr:row>
      <xdr:rowOff>95249</xdr:rowOff>
    </xdr:to>
    <xdr:graphicFrame macro="">
      <xdr:nvGraphicFramePr>
        <xdr:cNvPr id="39588" name="Gráfico 1">
          <a:extLst>
            <a:ext uri="{FF2B5EF4-FFF2-40B4-BE49-F238E27FC236}">
              <a16:creationId xmlns:a16="http://schemas.microsoft.com/office/drawing/2014/main" id="{00000000-0008-0000-2500-0000A49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10</xdr:row>
      <xdr:rowOff>9525</xdr:rowOff>
    </xdr:from>
    <xdr:to>
      <xdr:col>4</xdr:col>
      <xdr:colOff>9525</xdr:colOff>
      <xdr:row>35</xdr:row>
      <xdr:rowOff>38099</xdr:rowOff>
    </xdr:to>
    <xdr:graphicFrame macro="">
      <xdr:nvGraphicFramePr>
        <xdr:cNvPr id="40508" name="Gráfico 1">
          <a:extLst>
            <a:ext uri="{FF2B5EF4-FFF2-40B4-BE49-F238E27FC236}">
              <a16:creationId xmlns:a16="http://schemas.microsoft.com/office/drawing/2014/main" id="{00000000-0008-0000-2600-00003C9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581025</xdr:colOff>
      <xdr:row>6</xdr:row>
      <xdr:rowOff>9525</xdr:rowOff>
    </xdr:from>
    <xdr:to>
      <xdr:col>7</xdr:col>
      <xdr:colOff>180975</xdr:colOff>
      <xdr:row>34</xdr:row>
      <xdr:rowOff>123825</xdr:rowOff>
    </xdr:to>
    <xdr:graphicFrame macro="">
      <xdr:nvGraphicFramePr>
        <xdr:cNvPr id="5" name="Gráfico 1">
          <a:extLst>
            <a:ext uri="{FF2B5EF4-FFF2-40B4-BE49-F238E27FC236}">
              <a16:creationId xmlns:a16="http://schemas.microsoft.com/office/drawing/2014/main" id="{00000000-0008-0000-2B00-000072B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100012</xdr:colOff>
      <xdr:row>15</xdr:row>
      <xdr:rowOff>23811</xdr:rowOff>
    </xdr:from>
    <xdr:to>
      <xdr:col>3</xdr:col>
      <xdr:colOff>476251</xdr:colOff>
      <xdr:row>32</xdr:row>
      <xdr:rowOff>123824</xdr:rowOff>
    </xdr:to>
    <xdr:graphicFrame macro="">
      <xdr:nvGraphicFramePr>
        <xdr:cNvPr id="3" name="Gráfico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47624</xdr:colOff>
      <xdr:row>2</xdr:row>
      <xdr:rowOff>142874</xdr:rowOff>
    </xdr:from>
    <xdr:to>
      <xdr:col>6</xdr:col>
      <xdr:colOff>542924</xdr:colOff>
      <xdr:row>23</xdr:row>
      <xdr:rowOff>0</xdr:rowOff>
    </xdr:to>
    <xdr:graphicFrame macro="">
      <xdr:nvGraphicFramePr>
        <xdr:cNvPr id="3" name="Gráfico 1">
          <a:extLst>
            <a:ext uri="{FF2B5EF4-FFF2-40B4-BE49-F238E27FC236}">
              <a16:creationId xmlns:a16="http://schemas.microsoft.com/office/drawing/2014/main"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8</xdr:row>
      <xdr:rowOff>132523</xdr:rowOff>
    </xdr:from>
    <xdr:to>
      <xdr:col>11</xdr:col>
      <xdr:colOff>488674</xdr:colOff>
      <xdr:row>30</xdr:row>
      <xdr:rowOff>70817</xdr:rowOff>
    </xdr:to>
    <xdr:graphicFrame macro="">
      <xdr:nvGraphicFramePr>
        <xdr:cNvPr id="48908" name="Gráfico 1">
          <a:extLst>
            <a:ext uri="{FF2B5EF4-FFF2-40B4-BE49-F238E27FC236}">
              <a16:creationId xmlns:a16="http://schemas.microsoft.com/office/drawing/2014/main" id="{00000000-0008-0000-2F00-00000CB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7</xdr:row>
      <xdr:rowOff>9525</xdr:rowOff>
    </xdr:from>
    <xdr:to>
      <xdr:col>19</xdr:col>
      <xdr:colOff>9525</xdr:colOff>
      <xdr:row>32</xdr:row>
      <xdr:rowOff>95250</xdr:rowOff>
    </xdr:to>
    <xdr:graphicFrame macro="">
      <xdr:nvGraphicFramePr>
        <xdr:cNvPr id="50802" name="Gráfico 1">
          <a:extLst>
            <a:ext uri="{FF2B5EF4-FFF2-40B4-BE49-F238E27FC236}">
              <a16:creationId xmlns:a16="http://schemas.microsoft.com/office/drawing/2014/main" id="{00000000-0008-0000-3100-000072C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xdr:colOff>
      <xdr:row>8</xdr:row>
      <xdr:rowOff>153458</xdr:rowOff>
    </xdr:from>
    <xdr:to>
      <xdr:col>6</xdr:col>
      <xdr:colOff>76200</xdr:colOff>
      <xdr:row>27</xdr:row>
      <xdr:rowOff>142875</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30</xdr:row>
      <xdr:rowOff>0</xdr:rowOff>
    </xdr:from>
    <xdr:ext cx="184731" cy="217560"/>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4086225" y="6797675"/>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800"/>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38099</xdr:colOff>
      <xdr:row>4</xdr:row>
      <xdr:rowOff>161925</xdr:rowOff>
    </xdr:from>
    <xdr:to>
      <xdr:col>19</xdr:col>
      <xdr:colOff>9524</xdr:colOff>
      <xdr:row>29</xdr:row>
      <xdr:rowOff>19050</xdr:rowOff>
    </xdr:to>
    <xdr:graphicFrame macro="">
      <xdr:nvGraphicFramePr>
        <xdr:cNvPr id="53101" name="Gráfico 2">
          <a:extLst>
            <a:ext uri="{FF2B5EF4-FFF2-40B4-BE49-F238E27FC236}">
              <a16:creationId xmlns:a16="http://schemas.microsoft.com/office/drawing/2014/main" id="{00000000-0008-0000-3300-00006DC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xdr:row>
      <xdr:rowOff>47624</xdr:rowOff>
    </xdr:from>
    <xdr:to>
      <xdr:col>19</xdr:col>
      <xdr:colOff>104776</xdr:colOff>
      <xdr:row>28</xdr:row>
      <xdr:rowOff>142875</xdr:rowOff>
    </xdr:to>
    <xdr:graphicFrame macro="">
      <xdr:nvGraphicFramePr>
        <xdr:cNvPr id="54898" name="Gráfico 1">
          <a:extLst>
            <a:ext uri="{FF2B5EF4-FFF2-40B4-BE49-F238E27FC236}">
              <a16:creationId xmlns:a16="http://schemas.microsoft.com/office/drawing/2014/main" id="{00000000-0008-0000-3500-000072D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76197</xdr:colOff>
      <xdr:row>4</xdr:row>
      <xdr:rowOff>66675</xdr:rowOff>
    </xdr:from>
    <xdr:to>
      <xdr:col>20</xdr:col>
      <xdr:colOff>104774</xdr:colOff>
      <xdr:row>25</xdr:row>
      <xdr:rowOff>152400</xdr:rowOff>
    </xdr:to>
    <xdr:graphicFrame macro="">
      <xdr:nvGraphicFramePr>
        <xdr:cNvPr id="5" name="Gráfico 1">
          <a:extLst>
            <a:ext uri="{FF2B5EF4-FFF2-40B4-BE49-F238E27FC236}">
              <a16:creationId xmlns:a16="http://schemas.microsoft.com/office/drawing/2014/main" id="{00000000-0008-0000-3700-000072D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360362</xdr:colOff>
      <xdr:row>12</xdr:row>
      <xdr:rowOff>55562</xdr:rowOff>
    </xdr:from>
    <xdr:to>
      <xdr:col>7</xdr:col>
      <xdr:colOff>636587</xdr:colOff>
      <xdr:row>33</xdr:row>
      <xdr:rowOff>79375</xdr:rowOff>
    </xdr:to>
    <xdr:graphicFrame macro="">
      <xdr:nvGraphicFramePr>
        <xdr:cNvPr id="4928" name="Gráfico 1">
          <a:extLst>
            <a:ext uri="{FF2B5EF4-FFF2-40B4-BE49-F238E27FC236}">
              <a16:creationId xmlns:a16="http://schemas.microsoft.com/office/drawing/2014/main" id="{00000000-0008-0000-0800-0000401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19</xdr:row>
      <xdr:rowOff>0</xdr:rowOff>
    </xdr:from>
    <xdr:to>
      <xdr:col>21</xdr:col>
      <xdr:colOff>0</xdr:colOff>
      <xdr:row>35</xdr:row>
      <xdr:rowOff>126206</xdr:rowOff>
    </xdr:to>
    <xdr:graphicFrame macro="">
      <xdr:nvGraphicFramePr>
        <xdr:cNvPr id="7" name="Gráfico 6">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8</xdr:row>
      <xdr:rowOff>76201</xdr:rowOff>
    </xdr:from>
    <xdr:to>
      <xdr:col>10</xdr:col>
      <xdr:colOff>200025</xdr:colOff>
      <xdr:row>30</xdr:row>
      <xdr:rowOff>133351</xdr:rowOff>
    </xdr:to>
    <xdr:graphicFrame macro="">
      <xdr:nvGraphicFramePr>
        <xdr:cNvPr id="9233637" name="Gráfico 1">
          <a:extLst>
            <a:ext uri="{FF2B5EF4-FFF2-40B4-BE49-F238E27FC236}">
              <a16:creationId xmlns:a16="http://schemas.microsoft.com/office/drawing/2014/main" id="{00000000-0008-0000-0C00-0000E5E48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6</xdr:row>
      <xdr:rowOff>152400</xdr:rowOff>
    </xdr:from>
    <xdr:to>
      <xdr:col>10</xdr:col>
      <xdr:colOff>247649</xdr:colOff>
      <xdr:row>29</xdr:row>
      <xdr:rowOff>76200</xdr:rowOff>
    </xdr:to>
    <xdr:graphicFrame macro="">
      <xdr:nvGraphicFramePr>
        <xdr:cNvPr id="14965" name="Gráfico 1">
          <a:extLst>
            <a:ext uri="{FF2B5EF4-FFF2-40B4-BE49-F238E27FC236}">
              <a16:creationId xmlns:a16="http://schemas.microsoft.com/office/drawing/2014/main" id="{00000000-0008-0000-1200-0000753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790575</xdr:colOff>
      <xdr:row>6</xdr:row>
      <xdr:rowOff>133350</xdr:rowOff>
    </xdr:from>
    <xdr:to>
      <xdr:col>23</xdr:col>
      <xdr:colOff>504825</xdr:colOff>
      <xdr:row>31</xdr:row>
      <xdr:rowOff>38100</xdr:rowOff>
    </xdr:to>
    <xdr:graphicFrame macro="">
      <xdr:nvGraphicFramePr>
        <xdr:cNvPr id="19058" name="Gráfico 1">
          <a:extLst>
            <a:ext uri="{FF2B5EF4-FFF2-40B4-BE49-F238E27FC236}">
              <a16:creationId xmlns:a16="http://schemas.microsoft.com/office/drawing/2014/main" id="{00000000-0008-0000-1500-0000724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276225</xdr:colOff>
      <xdr:row>6</xdr:row>
      <xdr:rowOff>180974</xdr:rowOff>
    </xdr:from>
    <xdr:to>
      <xdr:col>21</xdr:col>
      <xdr:colOff>361950</xdr:colOff>
      <xdr:row>30</xdr:row>
      <xdr:rowOff>76199</xdr:rowOff>
    </xdr:to>
    <xdr:graphicFrame macro="">
      <xdr:nvGraphicFramePr>
        <xdr:cNvPr id="13963272" name="Gráfico 1">
          <a:extLst>
            <a:ext uri="{FF2B5EF4-FFF2-40B4-BE49-F238E27FC236}">
              <a16:creationId xmlns:a16="http://schemas.microsoft.com/office/drawing/2014/main" id="{00000000-0008-0000-1800-00000810D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6</xdr:row>
      <xdr:rowOff>28576</xdr:rowOff>
    </xdr:from>
    <xdr:to>
      <xdr:col>15</xdr:col>
      <xdr:colOff>161925</xdr:colOff>
      <xdr:row>29</xdr:row>
      <xdr:rowOff>123825</xdr:rowOff>
    </xdr:to>
    <xdr:graphicFrame macro="">
      <xdr:nvGraphicFramePr>
        <xdr:cNvPr id="26445" name="Gráfico 1">
          <a:extLst>
            <a:ext uri="{FF2B5EF4-FFF2-40B4-BE49-F238E27FC236}">
              <a16:creationId xmlns:a16="http://schemas.microsoft.com/office/drawing/2014/main" id="{00000000-0008-0000-1B00-00004D6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192418</xdr:colOff>
      <xdr:row>1</xdr:row>
      <xdr:rowOff>133510</xdr:rowOff>
    </xdr:from>
    <xdr:to>
      <xdr:col>11</xdr:col>
      <xdr:colOff>46912</xdr:colOff>
      <xdr:row>17</xdr:row>
      <xdr:rowOff>89170</xdr:rowOff>
    </xdr:to>
    <xdr:graphicFrame macro="">
      <xdr:nvGraphicFramePr>
        <xdr:cNvPr id="29298" name="Gráfico 1">
          <a:extLst>
            <a:ext uri="{FF2B5EF4-FFF2-40B4-BE49-F238E27FC236}">
              <a16:creationId xmlns:a16="http://schemas.microsoft.com/office/drawing/2014/main" id="{00000000-0008-0000-1D00-0000727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154AEF-D9CC-4497-9044-F817CC55DF7F}" name="Tabla1" displayName="Tabla1" ref="A11:D14" totalsRowShown="0">
  <autoFilter ref="A11:D14" xr:uid="{D1154AEF-D9CC-4497-9044-F817CC55DF7F}"/>
  <tableColumns count="4">
    <tableColumn id="1" xr3:uid="{41145D7C-481B-4FAB-980F-DC63C7F0E150}" name="Generación de residuos en Aragón, en el año de referencia 2010"/>
    <tableColumn id="4" xr3:uid="{C3026A06-EA02-4A7E-BCC9-D1990C45B909}" name="Generados en 2010 (toneladas)"/>
    <tableColumn id="6" xr3:uid="{FB92A530-B160-458C-81D4-BB1A49776AA8}" name="Objetivo 2020 (10 % &lt; 2010)"/>
    <tableColumn id="8" xr3:uid="{E8EC4C78-35B3-4206-975A-EEADE09943BB}" name="Objetivo 2025 (13 % &lt; 2010)"/>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A1762C-6838-4554-9726-259C7E93AEE2}" name="Tabla15" displayName="Tabla15" ref="A3:P12" totalsRowShown="0" headerRowDxfId="73" dataDxfId="72" tableBorderDxfId="71">
  <autoFilter ref="A3:P12" xr:uid="{79A1762C-6838-4554-9726-259C7E93AEE2}"/>
  <tableColumns count="16">
    <tableColumn id="1" xr3:uid="{2301B512-C9B0-47B2-9E0B-2120FCF8742B}" name="Tipo de residuo " dataDxfId="70"/>
    <tableColumn id="2" xr3:uid="{B1C8DCAB-4395-4968-968A-E2AD60658D3B}" name="Papel/ carton 20.01.01_x000a_15.01.01" dataDxfId="69"/>
    <tableColumn id="3" xr3:uid="{88E38F7D-D0BE-43A8-8F63-6B0872B9E43F}" name="Envases mezclados 15.01.06  15.01.05" dataDxfId="68"/>
    <tableColumn id="4" xr3:uid="{0547BD24-24CE-4829-8B25-5A06853FA254}" name="Metales 20.01.40  15.01.04" dataDxfId="67"/>
    <tableColumn id="5" xr3:uid="{ACC42BAD-15E9-4191-80E4-2D749A5A19D6}" name="Plásticos 20.01.39  15.01.02" dataDxfId="66"/>
    <tableColumn id="6" xr3:uid="{A7D58D51-FD6C-4AB6-8B9F-31258DBEBFD0}" name="Vidrio 20.01.02   15.01.07" dataDxfId="65"/>
    <tableColumn id="7" xr3:uid="{7EED7834-4FD8-4303-8F82-16DE5E467312}" name="Madera 20.01.37* 20.01.38  15.01.03" dataDxfId="64"/>
    <tableColumn id="8" xr3:uid="{49680E2E-A7DD-4C32-822F-CE00B6AEEBFA}" name="Tejidos/Ropa/Envases textiles_x000a_20.01.10_x000a_20.01.11_x000a_15.01.09" dataDxfId="63"/>
    <tableColumn id="9" xr3:uid="{C3EAB52A-8E3D-48D7-AA43-2BD10F8823C4}" name="Aceites y grasas 20.01.25 20.01.26* " dataDxfId="62"/>
    <tableColumn id="10" xr3:uid="{DF2B41C1-0B23-44FB-A601-78C6EA6D49DF}" name="Residuos químicos 20.01.13* 20.01.14* 20.01.15* 20.01.17* 20.01.19* 20.01.27* 20.01.28 20.01.29* 20.01.30" dataDxfId="61"/>
    <tableColumn id="11" xr3:uid="{09B6CCCE-864A-4244-877D-FD010B2E67B4}" name="RAEES _x000a_20.01.21* 20.01.23* 20.01.35* 20.01.36   16.02.14" dataDxfId="60"/>
    <tableColumn id="12" xr3:uid="{4B3C5B9E-4802-4947-88B0-8D49CBFC5343}" name="PAB_x000a_20.01.34_x000a_20.01.33*   16.06.03*    16.06.04     16.06.01" dataDxfId="59"/>
    <tableColumn id="13" xr3:uid="{862EE2D4-D388-4622-B096-23850433D160}" name="Volumi nosos_x000a_20.03.07  " dataDxfId="58"/>
    <tableColumn id="14" xr3:uid="{06216EAC-2E4C-4B8C-A601-0EEA18280153}" name="Otros cód. LER" dataDxfId="57"/>
    <tableColumn id="15" xr3:uid="{C73A6854-B067-422E-896B-7D8110F50481}" name="Escombros obras menores Capitulo 17 LER " dataDxfId="56"/>
    <tableColumn id="16" xr3:uid="{A04A422B-703F-4EB0-B9BF-524EE7C5AC03}" name="TOTAL" dataDxfId="55"/>
  </tableColumns>
  <tableStyleInfo name="Estilo de tab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83F3559-09AA-4D40-8C29-0ED69C8F98A0}" name="Tabla17" displayName="Tabla17" ref="A3:B7" totalsRowShown="0" headerRowCellStyle="Normal" dataCellStyle="Normal">
  <autoFilter ref="A3:B7" xr:uid="{683F3559-09AA-4D40-8C29-0ED69C8F98A0}"/>
  <tableColumns count="2">
    <tableColumn id="1" xr3:uid="{D770E28E-C958-499A-B3B2-122B21C90B6B}" name="Residuo" dataCellStyle="Normal"/>
    <tableColumn id="2" xr3:uid="{42D9C559-AFBA-4CB9-91B4-E8A07567647C}" name="Sistema Integrado de Gestión (SIG) de Envases" dataCellStyle="Normal"/>
  </tableColumns>
  <tableStyleInfo name="Estilo de tabla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CF04B8-4A81-4112-9F0F-50522691991B}" name="Tabla18" displayName="Tabla18" ref="A3:B11" totalsRowShown="0" headerRowBorderDxfId="54" tableBorderDxfId="53" totalsRowBorderDxfId="52">
  <autoFilter ref="A3:B11" xr:uid="{29CF04B8-4A81-4112-9F0F-50522691991B}"/>
  <tableColumns count="2">
    <tableColumn id="1" xr3:uid="{9B97E924-9682-4B19-AA7E-47DD33C013C5}" name="Columna1" dataDxfId="51"/>
    <tableColumn id="2" xr3:uid="{E53B13B4-387F-4112-9635-7CEBBDF7231C}" name="Columna2"/>
  </tableColumns>
  <tableStyleInfo name="Estilo de tabla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BEF5C68-1FB9-46C6-B9DF-E0D270B4F1FE}" name="Tabla19" displayName="Tabla19" ref="A3:F12" totalsRowShown="0">
  <autoFilter ref="A3:F12" xr:uid="{4BEF5C68-1FB9-46C6-B9DF-E0D270B4F1FE}"/>
  <tableColumns count="6">
    <tableColumn id="1" xr3:uid="{37C9EB34-968D-4B4F-89F6-FBBA8FB0E2CF}" name="Agrupación"/>
    <tableColumn id="2" xr3:uid="{735DF56F-E0C7-4C65-85DC-0A66B77F0BFB}" name="Número de contenedores"/>
    <tableColumn id="3" xr3:uid="{5ACD0694-3FEC-4329-A529-F9CCC5210FC3}" name="Municipios atendidos"/>
    <tableColumn id="4" xr3:uid="{114DF5C1-ECE8-46DA-8377-C2719AD2256C}" name="Toneladas recogidas "/>
    <tableColumn id="5" xr3:uid="{C39C5868-DBF0-47B2-98AE-F17CDEAB8AC7}" name="Habitantes atendidos (*)"/>
    <tableColumn id="6" xr3:uid="{A4B863F2-EF01-4036-8933-38A149CF415B}" name="Ratio (kg/habitante atendido año)">
      <calculatedColumnFormula>D4*1000/E4</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9F4F94C-5EDD-4248-B481-F46316E89F03}" name="Tabla21" displayName="Tabla21" ref="A3:V6" totalsRowShown="0">
  <autoFilter ref="A3:V6" xr:uid="{79F4F94C-5EDD-4248-B481-F46316E89F03}"/>
  <tableColumns count="22">
    <tableColumn id="1" xr3:uid="{7B97DCD9-203F-4A18-8CDB-D1C4A3EDC222}" name="Columna1"/>
    <tableColumn id="2" xr3:uid="{717CA7D7-A48B-48B7-87AF-EFBA9C41C915}" name="2002" dataDxfId="50" dataCellStyle="Millares"/>
    <tableColumn id="3" xr3:uid="{87E6911C-950F-4B0A-AA87-5F6339E4FB22}" name="2003" dataDxfId="49" dataCellStyle="Millares"/>
    <tableColumn id="4" xr3:uid="{09E0E143-D047-4581-89FC-9268A0E42C6E}" name="2004" dataDxfId="48" dataCellStyle="Millares"/>
    <tableColumn id="5" xr3:uid="{3F755545-0317-46A8-9298-C315A72A18E6}" name="2005" dataDxfId="47" dataCellStyle="Millares"/>
    <tableColumn id="6" xr3:uid="{D9B4C69C-1A07-4450-95A2-357DE4DDB57E}" name="2006" dataDxfId="46" dataCellStyle="Millares"/>
    <tableColumn id="7" xr3:uid="{1967E9E1-4C0E-4D3D-A37C-DC8C2EE600D1}" name="2007" dataDxfId="45" dataCellStyle="Millares"/>
    <tableColumn id="8" xr3:uid="{6D908290-6773-474B-B57D-20233C29738D}" name="2008" dataDxfId="44" dataCellStyle="Millares"/>
    <tableColumn id="9" xr3:uid="{B84C7963-90A5-4BA4-81F9-CB59241F46ED}" name="2009" dataDxfId="43" dataCellStyle="Millares"/>
    <tableColumn id="10" xr3:uid="{4C067C38-1792-47C1-A96F-8BEF77E36A1B}" name="2010" dataDxfId="42" dataCellStyle="Millares"/>
    <tableColumn id="11" xr3:uid="{D97F30F3-3ECF-4B60-B066-E7164EBEF506}" name="2011" dataDxfId="41" dataCellStyle="Millares"/>
    <tableColumn id="12" xr3:uid="{E8B51EDC-B214-4011-A486-129C71F1A1BC}" name="2012" dataDxfId="40" dataCellStyle="Millares"/>
    <tableColumn id="13" xr3:uid="{F267523F-5EEA-4AA4-9A8D-A7B13DC659DE}" name="2013" dataDxfId="39" dataCellStyle="Millares"/>
    <tableColumn id="14" xr3:uid="{E0FB3204-413D-4866-85E6-BC4231BE4D94}" name="2014" dataDxfId="38" dataCellStyle="Millares"/>
    <tableColumn id="15" xr3:uid="{5C90D90D-9603-4C13-9C2E-EC44EB664078}" name="2015" dataDxfId="37" dataCellStyle="Millares"/>
    <tableColumn id="16" xr3:uid="{5F417CDF-B8B2-45D2-9BAD-F3323B03896C}" name="2016" dataDxfId="36" dataCellStyle="Millares"/>
    <tableColumn id="17" xr3:uid="{7BD7AF0C-9263-4B0D-89B7-C8BE50CC3720}" name="2017" dataDxfId="35" dataCellStyle="Millares"/>
    <tableColumn id="18" xr3:uid="{87CF3345-DBF7-45C0-9FC6-0D4FE2E1CE7F}" name="2018" dataDxfId="34" dataCellStyle="Millares"/>
    <tableColumn id="19" xr3:uid="{B0966D04-0CD6-4E4A-B481-DFF4273DAB10}" name="2019" dataDxfId="33" dataCellStyle="Millares"/>
    <tableColumn id="20" xr3:uid="{ADB38368-F35B-4020-9148-2ED91C17C209}" name="2020" dataDxfId="32" dataCellStyle="Millares"/>
    <tableColumn id="21" xr3:uid="{C0E7E057-DA93-4124-8F37-531CE223B718}" name="2021" dataDxfId="31" dataCellStyle="Millares"/>
    <tableColumn id="22" xr3:uid="{739D7BEA-3A71-47E1-AAD8-5EAA7B1AC556}" name="2022" dataDxfId="30" dataCellStyle="Millares"/>
  </tableColumns>
  <tableStyleInfo name="Estilo de tabla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D2867DC-4CF9-4D1C-8676-80CB4F4531AA}" name="Tabla23" displayName="Tabla23" ref="A3:B11" totalsRowShown="0" headerRowBorderDxfId="29" tableBorderDxfId="28" totalsRowBorderDxfId="27" headerRowCellStyle="Normal" dataCellStyle="Normal">
  <autoFilter ref="A3:B11" xr:uid="{FD2867DC-4CF9-4D1C-8676-80CB4F4531AA}"/>
  <tableColumns count="2">
    <tableColumn id="1" xr3:uid="{EA198056-50BF-45F1-9893-1F964595F337}" name="Columna1" dataCellStyle="Normal"/>
    <tableColumn id="2" xr3:uid="{0013AD52-4CCD-4BF9-9D27-5BD6A51E0BA6}" name="Columna2" dataCellStyle="Normal"/>
  </tableColumns>
  <tableStyleInfo name="Estilo de tabla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5AB9B6C-06FA-4FBA-B2A8-DFD18DFAADBF}" name="Tabla24" displayName="Tabla24" ref="A3:I12" totalsRowShown="0" headerRowDxfId="26">
  <autoFilter ref="A3:I12" xr:uid="{E5AB9B6C-06FA-4FBA-B2A8-DFD18DFAADBF}"/>
  <tableColumns count="9">
    <tableColumn id="1" xr3:uid="{7CF08DBF-322E-4365-9C0F-974862095849}" name="Agrupación"/>
    <tableColumn id="2" xr3:uid="{070981FA-2CA6-4995-9B55-907ED408C010}" name="Número de contenedores azules"/>
    <tableColumn id="3" xr3:uid="{228491D1-2C29-431E-AEBD-2E5D440B6CC4}" name="Municipios atendidos con contenedor azul"/>
    <tableColumn id="4" xr3:uid="{CA685C58-9C27-413C-8A0E-09E078E2603A}" name="Toneladas recogidas en contenedor azul "/>
    <tableColumn id="5" xr3:uid="{3BB2F2F5-D54A-4C5E-802A-1D07CCD62709}" name="Habitantes atendidos"/>
    <tableColumn id="6" xr3:uid="{F7E3A929-603E-4813-830C-0406DBA7F2E7}" name="Ratio (kg recogidos en contenedor azul / habitante atendido año)">
      <calculatedColumnFormula>D4*1000/E4</calculatedColumnFormula>
    </tableColumn>
    <tableColumn id="7" xr3:uid="{518F11A6-E7CC-4436-AF4A-412633DDDEA0}" name="Toneladas recogidas en puerta a puerta comercial"/>
    <tableColumn id="8" xr3:uid="{01D06D90-83FC-4CCF-A53D-EDDFA286CFAB}" name="Toneladas  recogidas en punto limpio"/>
    <tableColumn id="9" xr3:uid="{D783B671-E669-4AC7-B262-3D7C9F515900}" name="Toneladas totales recogidas"/>
  </tableColumns>
  <tableStyleInfo name="Estilo de tabla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91D7F03-51DB-4B54-8C69-3075F769D583}" name="Tabla26" displayName="Tabla26" ref="A3:W6" totalsRowShown="0">
  <autoFilter ref="A3:W6" xr:uid="{291D7F03-51DB-4B54-8C69-3075F769D583}"/>
  <tableColumns count="23">
    <tableColumn id="1" xr3:uid="{E393AFD2-C9AF-4483-AF26-622E1CDA5FD8}" name="Columna1"/>
    <tableColumn id="2" xr3:uid="{DD865545-DEE5-4E30-B2C3-519CBE76C730}" name="2.001"/>
    <tableColumn id="3" xr3:uid="{C8C5863B-EA20-4899-96D3-8B454DDDED31}" name="2.002"/>
    <tableColumn id="4" xr3:uid="{0CF43CDC-14E7-4EE5-88EC-E098F8CAAE1D}" name="2.003"/>
    <tableColumn id="5" xr3:uid="{C9EBB026-96AC-4B89-A2F1-9A56A0BF5583}" name="2.004"/>
    <tableColumn id="6" xr3:uid="{C1719574-07CD-4B75-94E3-ED759B3E7FB9}" name="2.005"/>
    <tableColumn id="7" xr3:uid="{EFAE1E70-E289-4C4A-BB18-57ED1F4C63AF}" name="2.006"/>
    <tableColumn id="8" xr3:uid="{6AC4CFB4-52E9-4D43-9E12-7AFD98024B38}" name="2.007"/>
    <tableColumn id="9" xr3:uid="{1169B8EA-F0F3-4C04-9DE9-AC46F9C48565}" name="2.008"/>
    <tableColumn id="10" xr3:uid="{F71A189D-5C3E-40C5-AFBB-47D67626A0E0}" name="2.009"/>
    <tableColumn id="11" xr3:uid="{9E43D416-8C69-4B0A-8100-405C5D3167B1}" name="2.010"/>
    <tableColumn id="12" xr3:uid="{EFB05CA4-A3D9-4A3C-B391-700C7F380B9F}" name="2.011"/>
    <tableColumn id="13" xr3:uid="{FCAC39A7-5F4B-4132-AA43-5A74AFCF1ECF}" name="2.012"/>
    <tableColumn id="14" xr3:uid="{F62CC0C6-24FD-4BBD-8763-BB19A7FCFBCA}" name="2.013"/>
    <tableColumn id="15" xr3:uid="{C43C6A10-5837-49A8-A1A9-B4F5D5B2DB0F}" name="2.014"/>
    <tableColumn id="16" xr3:uid="{1A131133-33E1-4940-B617-C0B461A84C47}" name="2.015"/>
    <tableColumn id="17" xr3:uid="{8F0D4AB2-19CB-447A-8FB4-A16167FCE826}" name="2.016"/>
    <tableColumn id="18" xr3:uid="{91907A64-4231-4D6B-B053-9B16F61EA3B8}" name="2.017"/>
    <tableColumn id="19" xr3:uid="{4B6A7315-2967-4495-953C-826D874DA1D3}" name="2.018"/>
    <tableColumn id="20" xr3:uid="{6581F059-A4BB-4DA5-A2C1-B20B0172295C}" name="2.019"/>
    <tableColumn id="21" xr3:uid="{21820F1B-00D4-4018-9F5D-89D6D2AF4125}" name="2.020"/>
    <tableColumn id="22" xr3:uid="{8E77C838-ACAF-473E-86CA-632D97A87A6E}" name="2.021"/>
    <tableColumn id="23" xr3:uid="{35CFA652-AD88-46DD-98E2-25F5CA427513}" name="2.022"/>
  </tableColumns>
  <tableStyleInfo name="Estilo de tabla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7E7F7C3-2A1C-4B5F-ABBF-5EECDE9AB291}" name="Tabla27" displayName="Tabla27" ref="A3:B11" totalsRowShown="0" headerRowBorderDxfId="25" tableBorderDxfId="24" totalsRowBorderDxfId="23" headerRowCellStyle="Normal" dataCellStyle="Normal">
  <autoFilter ref="A3:B11" xr:uid="{17E7F7C3-2A1C-4B5F-ABBF-5EECDE9AB291}"/>
  <tableColumns count="2">
    <tableColumn id="1" xr3:uid="{393EE5C0-FB94-43ED-A076-D917DAC77DF2}" name="Columna1" dataCellStyle="Normal"/>
    <tableColumn id="2" xr3:uid="{CAD592D4-34B9-4EBD-B9B7-1757F693BB52}" name="Columna2" dataCellStyle="Normal"/>
  </tableColumns>
  <tableStyleInfo name="Estilo de tabla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1811954-B218-4945-A19B-156FFC342A4F}" name="Tabla28" displayName="Tabla28" ref="A3:F12" totalsRowShown="0">
  <autoFilter ref="A3:F12" xr:uid="{B1811954-B218-4945-A19B-156FFC342A4F}"/>
  <tableColumns count="6">
    <tableColumn id="1" xr3:uid="{D944988F-16FA-4852-BEC3-7BE0FA4A6565}" name="Agrupación"/>
    <tableColumn id="2" xr3:uid="{09368924-B60B-427F-9EA0-E21D00CE1D06}" name="Contenedores"/>
    <tableColumn id="3" xr3:uid="{55A3947A-3C4C-43B5-B00E-7FD2EBF8FD62}" name="Municipios atendidos"/>
    <tableColumn id="4" xr3:uid="{38332F12-7322-4AA2-A95B-98A597B42F37}" name="Toneladas recogidas "/>
    <tableColumn id="5" xr3:uid="{FC630F85-EB16-4FC5-BA63-8C93C3849D17}" name="Habitantes atendidos"/>
    <tableColumn id="6" xr3:uid="{A6ACCFD2-6CDC-4FA7-91D1-A81016114A7B}" name="Ratio (kg / hab atendido y año)" dataDxfId="22">
      <calculatedColumnFormula>D4*1000/E4</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B89685-BD23-493A-A3C1-6E2785612B74}" name="Tabla3" displayName="Tabla3" ref="A3:F15" totalsRowCount="1" headerRowDxfId="149" dataDxfId="148">
  <autoFilter ref="A3:F14" xr:uid="{1AB89685-BD23-493A-A3C1-6E2785612B74}"/>
  <tableColumns count="6">
    <tableColumn id="1" xr3:uid="{EC6FB2E0-EEE6-4804-A2DF-8F70414D8F66}" name="Año" totalsRowLabel="Total" dataDxfId="147" totalsRowDxfId="146"/>
    <tableColumn id="2" xr3:uid="{55C36DD6-F09F-4148-BC85-5D01AE1B4882}" name="Residuos totales generados incluyendo cenizas en toneladas" totalsRowFunction="sum" dataDxfId="145" totalsRowDxfId="144" dataCellStyle="Millares"/>
    <tableColumn id="3" xr3:uid="{12D1C07C-B2A9-41AF-8108-5715405BCA7E}" name="% de variación sobre 2010" dataDxfId="143" totalsRowDxfId="142"/>
    <tableColumn id="4" xr3:uid="{39E97DD5-C217-43EE-B3A3-6C2BB604BDA2}" name="Residuos totales generados excluyendo cenizas en toneladas" totalsRowFunction="sum" dataDxfId="141" totalsRowDxfId="140" dataCellStyle="Millares"/>
    <tableColumn id="5" xr3:uid="{0C30CC12-0FB7-4CD8-8C26-8F80CB8A7693}" name="   % de variación sobre 2010" dataDxfId="139" totalsRowDxfId="138"/>
    <tableColumn id="6" xr3:uid="{33EFE8A9-3CD7-4FAD-9AB1-55CD2CC2FF9B}" name="% de cenizas sobre el total de residuos" dataDxfId="137" totalsRowDxfId="136"/>
  </tableColumns>
  <tableStyleInfo name="Estilo de tabla 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E232830-7391-42D5-B785-F9407BF19F38}" name="Tabla29" displayName="Tabla29" ref="A3:V6" totalsRowShown="0">
  <autoFilter ref="A3:V6" xr:uid="{0E232830-7391-42D5-B785-F9407BF19F38}"/>
  <tableColumns count="22">
    <tableColumn id="1" xr3:uid="{8CE81C80-134A-4079-A4AF-366249CD8110}" name="Columna1"/>
    <tableColumn id="2" xr3:uid="{4443A312-E290-4C22-BBA8-CE3E54366237}" name="2.002"/>
    <tableColumn id="3" xr3:uid="{D54F7677-625D-4212-AFB5-FCCF4AAE83E1}" name="2.003"/>
    <tableColumn id="4" xr3:uid="{9837E112-8D12-4A85-95C9-885DE00DDC55}" name="2.004"/>
    <tableColumn id="5" xr3:uid="{07D32A24-113D-4B54-8FE7-727E3F7C2983}" name="2.005"/>
    <tableColumn id="6" xr3:uid="{5B6CF935-A2F7-46C0-ABE8-96B043E4AF87}" name="2.006"/>
    <tableColumn id="7" xr3:uid="{60B52255-D321-4E81-BFF7-73754C8AB1C8}" name="2.007"/>
    <tableColumn id="8" xr3:uid="{19018564-B2BA-441E-938D-DB13D6F00492}" name="2.008"/>
    <tableColumn id="9" xr3:uid="{5F83CC3E-4788-4BA4-9792-5AD9D8913F36}" name="2.009"/>
    <tableColumn id="10" xr3:uid="{DED43457-DD4C-432B-94D2-6E5F9C927483}" name="2.010"/>
    <tableColumn id="11" xr3:uid="{7670E371-7492-421E-9E5C-5E6EBDC4DF0C}" name="2.011"/>
    <tableColumn id="12" xr3:uid="{6093A154-01C9-4716-938B-2C67093E8E37}" name="2.012"/>
    <tableColumn id="13" xr3:uid="{7A0C9C47-72FC-4851-A5D6-0FC01C5BAD33}" name="2.013"/>
    <tableColumn id="14" xr3:uid="{7F9F3814-1CCF-4B48-BC59-72A4AAD51B13}" name="2.014"/>
    <tableColumn id="15" xr3:uid="{F65BA1B7-6950-4939-B458-B11AC29F64A0}" name="2.015"/>
    <tableColumn id="16" xr3:uid="{BFC10E30-E22D-40DA-ABFF-6A12538B90B6}" name="2.016"/>
    <tableColumn id="17" xr3:uid="{E645FB5E-305A-4A33-952C-33C2B2365D35}" name="2.017"/>
    <tableColumn id="18" xr3:uid="{588CC3A3-D21E-4EB0-B22F-E5E558FCCE6A}" name="2.018"/>
    <tableColumn id="19" xr3:uid="{9A9E7C8E-36AA-49BA-A0B6-500DB6DB0F26}" name="2.019"/>
    <tableColumn id="20" xr3:uid="{717EA48B-8E9A-4C0D-95D2-BC7A7C000CC8}" name="2.020"/>
    <tableColumn id="21" xr3:uid="{776E3A78-26A6-44AF-B8AC-1335AE88F4C9}" name="2.021"/>
    <tableColumn id="22" xr3:uid="{9A037E26-A66C-4D6B-A83E-0C5309B5B6F5}" name="2.022"/>
  </tableColumns>
  <tableStyleInfo name="Estilo de tabla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95DE9BE-9353-4FE0-AB1F-B3C99F8F8D14}" name="Tabla30" displayName="Tabla30" ref="A3:F8" totalsRowShown="0">
  <autoFilter ref="A3:F8" xr:uid="{795DE9BE-9353-4FE0-AB1F-B3C99F8F8D14}"/>
  <tableColumns count="6">
    <tableColumn id="1" xr3:uid="{27AF3035-A282-49F1-A8F8-B480F8AD3FC0}" name="Tipo de recuperación"/>
    <tableColumn id="2" xr3:uid="{CA4317F5-C2E7-4A3B-ABA8-95AC71A8D293}" name="Plásticos (toneladas)"/>
    <tableColumn id="3" xr3:uid="{2075F7D3-7470-47CB-8CA2-E3053335162D}" name="Metal (toneladas)"/>
    <tableColumn id="4" xr3:uid="{0099D151-4D13-48FB-8D89-B8D22D7BD167}" name="Papel/Cartón (toneladas)"/>
    <tableColumn id="5" xr3:uid="{E50DB879-38AC-43F5-ACD7-52C9581B9822}" name="Madera (toneladas)"/>
    <tableColumn id="6" xr3:uid="{24ADAFC2-DA48-4048-85AA-9E53DD6A546B}" name="TOTAL"/>
  </tableColumns>
  <tableStyleInfo name="Estilo de tabla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3CB6B82-F908-4D62-BFEA-10A9990A0DF9}" name="Tabla31" displayName="Tabla31" ref="A3:C7" totalsRowShown="0">
  <autoFilter ref="A3:C7" xr:uid="{C3CB6B82-F908-4D62-BFEA-10A9990A0DF9}"/>
  <tableColumns count="3">
    <tableColumn id="1" xr3:uid="{B8D92EE5-D1B6-4866-A2F3-A664FBCEB35A}" name="Provincia"/>
    <tableColumn id="2" xr3:uid="{3AEDD634-27A3-4A5C-A13C-73F6DDFCE3C4}" name="Número de puntos SIGRE"/>
    <tableColumn id="3" xr3:uid="{4D381D83-521A-4BF2-9766-BD204615F76C}" name="Número municipios con puntos SIGRE"/>
  </tableColumns>
  <tableStyleInfo name="Estilo de tabla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73EE82E-37FD-4C3B-A07B-EC5EF3924A19}" name="Tabla32" displayName="Tabla32" ref="A3:U5" totalsRowShown="0">
  <autoFilter ref="A3:U5" xr:uid="{973EE82E-37FD-4C3B-A07B-EC5EF3924A19}"/>
  <tableColumns count="21">
    <tableColumn id="1" xr3:uid="{F8CB5A4D-A247-4269-BF37-80EA169E7FA2}" name="Columna1"/>
    <tableColumn id="2" xr3:uid="{A59FAD81-04F2-447C-BD73-FAEF718D6CC2}" name="2.003"/>
    <tableColumn id="3" xr3:uid="{93C38BE7-6C59-429F-8559-5DA64D395DCD}" name="2.004"/>
    <tableColumn id="4" xr3:uid="{1C3C2678-2C4C-4AB7-BC34-95ADAE24E5EC}" name="2.005"/>
    <tableColumn id="5" xr3:uid="{8AE656FC-161A-4FB1-B134-3B33C627F76B}" name="2.006"/>
    <tableColumn id="6" xr3:uid="{D41DFD03-990A-45B8-B3E4-F3F8A3C9900F}" name="2.007"/>
    <tableColumn id="7" xr3:uid="{55A4B7BC-BC7C-463B-BFBE-63E094CDDFA2}" name="2.008"/>
    <tableColumn id="8" xr3:uid="{D8A0D233-EE8F-4E5D-A978-42E9EC6EF642}" name="2.009"/>
    <tableColumn id="9" xr3:uid="{EDD03D58-EC03-451F-BC5B-8672B60E7004}" name="2.010"/>
    <tableColumn id="10" xr3:uid="{20412410-F994-40D5-B158-3CC7C24EE5A5}" name="2.011"/>
    <tableColumn id="11" xr3:uid="{556FCA2E-FC41-4E4C-8359-D089D01E9A54}" name="2.012"/>
    <tableColumn id="12" xr3:uid="{EF372E5D-9C0D-423A-AA19-5E3D9B531EBB}" name="2.013"/>
    <tableColumn id="13" xr3:uid="{B57FEACB-25C4-4EE5-AF18-6795388473A5}" name="2.014"/>
    <tableColumn id="14" xr3:uid="{2B5785C5-9B54-43B2-8E7C-0DF5D4DEE87B}" name="2.015"/>
    <tableColumn id="15" xr3:uid="{39A40A82-5B6A-45AD-8EFC-BED256357C5B}" name="2.016"/>
    <tableColumn id="16" xr3:uid="{A1606681-E60C-42F8-A020-C6AC1DE2FE24}" name="2.017"/>
    <tableColumn id="17" xr3:uid="{8F3453BC-FCFD-492D-84CE-0A4CBD13DE9E}" name="2.018"/>
    <tableColumn id="18" xr3:uid="{31B833FA-6F7D-4A3A-AC0B-88AD26C4617F}" name="2.019"/>
    <tableColumn id="19" xr3:uid="{5A81BD7D-6505-474B-994E-2A69A95F0E43}" name="2.020"/>
    <tableColumn id="20" xr3:uid="{A1DD37D0-FA6E-4B3F-B7A2-E48DB3AAC926}" name="2.021"/>
    <tableColumn id="21" xr3:uid="{0A08F415-A9E5-4045-B5F5-4FCD515E2DED}" name="2.022">
      <calculatedColumnFormula>U3*1000/1326315</calculatedColumnFormula>
    </tableColumn>
  </tableColumns>
  <tableStyleInfo name="Estilo de tabla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7811ABA-22DE-4CC8-B0B0-8244CA1F0E56}" name="Tabla33" displayName="Tabla33" ref="A3:C24" totalsRowShown="0" headerRowDxfId="21">
  <autoFilter ref="A3:C24" xr:uid="{37811ABA-22DE-4CC8-B0B0-8244CA1F0E56}"/>
  <tableColumns count="3">
    <tableColumn id="1" xr3:uid="{F2652C24-7B9E-4096-B8EA-4B2D5AE6B9D8}" name="Código LER"/>
    <tableColumn id="2" xr3:uid="{BBE65046-DA88-420C-8DC7-3C764AABF813}" name="Descripción"/>
    <tableColumn id="3" xr3:uid="{9F259262-C2CA-46B8-BD4B-436D942AF221}" name="Cantidad de residuos no peligrosos (toneladas)"/>
  </tableColumns>
  <tableStyleInfo name="Estilo de tabla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7BC9BDC-7A1B-4205-BAF7-CE3E62CB26DC}" name="Tabla34" displayName="Tabla34" ref="A3:B24" totalsRowShown="0">
  <autoFilter ref="A3:B24" xr:uid="{37BC9BDC-7A1B-4205-BAF7-CE3E62CB26DC}"/>
  <tableColumns count="2">
    <tableColumn id="1" xr3:uid="{AFCCC91A-5248-4D3C-9EC1-D1B69D8995C2}" name="LER"/>
    <tableColumn id="2" xr3:uid="{07728E88-37CE-437F-8C3D-FEBE031FB282}" name="Toneladas"/>
  </tableColumns>
  <tableStyleInfo name="Estilo de tabla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D94F17-10DB-4EF4-8C76-EB708A121467}" name="Tabla37" displayName="Tabla37" ref="D3:F12" totalsRowShown="0">
  <autoFilter ref="D3:F12" xr:uid="{93D94F17-10DB-4EF4-8C76-EB708A121467}"/>
  <tableColumns count="3">
    <tableColumn id="1" xr3:uid="{827B4090-6586-48E9-B544-2F2CC745D049}" name="LER mayoritarios"/>
    <tableColumn id="2" xr3:uid="{5F302F29-3348-40DE-9652-AE143A63D14B}" name="Toneladas"/>
    <tableColumn id="3" xr3:uid="{2BD52B13-6E41-4CB8-81AD-9513815D5BCF}" name="%" dataCellStyle="Porcentaje">
      <calculatedColumnFormula>E4/$E$12</calculatedColumnFormula>
    </tableColumn>
  </tableColumns>
  <tableStyleInfo name="Estilo de tabla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D1FC4A7-1A8E-4457-A2EE-2906AA9D4FD6}" name="Tabla38" displayName="Tabla38" ref="A3:B10" totalsRowShown="0">
  <autoFilter ref="A3:B10" xr:uid="{DD1FC4A7-1A8E-4457-A2EE-2906AA9D4FD6}"/>
  <tableColumns count="2">
    <tableColumn id="1" xr3:uid="{AED668D3-DDB7-4D4F-8BC4-9FB20A1CD27C}" name="Columna1"/>
    <tableColumn id="2" xr3:uid="{E88E88EF-9403-40C7-BD47-000DBBE08871}" name="Columna2"/>
  </tableColumns>
  <tableStyleInfo name="Estilo de tabla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B83F462-AF83-4E1C-87A5-5C2F63EC88EF}" name="Tabla39" displayName="Tabla39" ref="A3:C9" totalsRowShown="0">
  <autoFilter ref="A3:C9" xr:uid="{7B83F462-AF83-4E1C-87A5-5C2F63EC88EF}"/>
  <tableColumns count="3">
    <tableColumn id="1" xr3:uid="{7D9C909D-E665-4144-B741-AA97877BCDBE}" name="Procedencia"/>
    <tableColumn id="2" xr3:uid="{2F7F759B-9071-4551-8FBB-926454696570}" name="Origen"/>
    <tableColumn id="3" xr3:uid="{B485C9DC-9736-48FD-A93A-768AD86199D5}" name="Residuos no peligrosos (toneladas)"/>
  </tableColumns>
  <tableStyleInfo name="Estilo de tabla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DC86827-38BB-4287-8EF4-29BBBAC4ABFD}" name="Tabla40" displayName="Tabla40" ref="A3:L7" totalsRowShown="0">
  <autoFilter ref="A3:L7" xr:uid="{3DC86827-38BB-4287-8EF4-29BBBAC4ABFD}"/>
  <tableColumns count="12">
    <tableColumn id="1" xr3:uid="{0CB18B1F-8EDC-4229-BF7D-8C4E38AEFE89}" name="Columna1"/>
    <tableColumn id="2" xr3:uid="{9064BA99-CC35-4A44-A905-0C0F85C83206}" name="2.012"/>
    <tableColumn id="3" xr3:uid="{2B90EF8C-6FEC-4EFF-8094-6B6DD74BB4BA}" name="2.013"/>
    <tableColumn id="4" xr3:uid="{92D83EC4-E9E4-49AB-9F80-5775BE542257}" name="2.014"/>
    <tableColumn id="5" xr3:uid="{5A45C3CB-E54E-4F99-94B6-65F1767BB657}" name="2.015"/>
    <tableColumn id="6" xr3:uid="{00BE310E-5FC4-48CE-8F56-92399BDEA06F}" name="2.016"/>
    <tableColumn id="7" xr3:uid="{58B0F845-B538-4842-B2B9-87B753EE2AB6}" name="2.017"/>
    <tableColumn id="8" xr3:uid="{03BAE4F7-E28D-44A8-9CD4-B3E4887DDD02}" name="2.018"/>
    <tableColumn id="9" xr3:uid="{576B5E0E-D1DD-47CB-9639-9C00E3F70C22}" name="2.019"/>
    <tableColumn id="10" xr3:uid="{C2B8B05A-D0CE-4176-9971-1270EDCC9F39}" name="2.020"/>
    <tableColumn id="11" xr3:uid="{3663677D-594A-4FC0-881B-FF57EC896500}" name="2.021"/>
    <tableColumn id="12" xr3:uid="{A1E93026-126D-48F7-9EFE-C237811AE5BA}" name="2.022"/>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2727D8-7B62-457E-A3E1-C940F24A55CF}" name="Tabla4" displayName="Tabla4" ref="A3:L11" totalsRowShown="0" headerRowDxfId="135" headerRowBorderDxfId="134" tableBorderDxfId="133">
  <autoFilter ref="A3:L11" xr:uid="{072727D8-7B62-457E-A3E1-C940F24A55CF}"/>
  <tableColumns count="12">
    <tableColumn id="1" xr3:uid="{692512B9-78A9-4BF0-A7E6-62036889EB4D}" name="DESCRIPCIÓN"/>
    <tableColumn id="2" xr3:uid="{1B4DA7A1-A86D-4C9B-99E1-EC3D641C8718}" name="2012"/>
    <tableColumn id="3" xr3:uid="{90FE372F-73B3-4571-AD9D-2ADD56DF01D5}" name="2013"/>
    <tableColumn id="4" xr3:uid="{F9E7CC23-D443-4668-8907-EB40056D27AA}" name="2014"/>
    <tableColumn id="5" xr3:uid="{F484ACA5-59E7-4706-99BB-D86609DC2C09}" name="2015"/>
    <tableColumn id="6" xr3:uid="{D266480F-0802-4EF7-A19A-A138C99F28AA}" name="2016"/>
    <tableColumn id="7" xr3:uid="{266211FB-5E16-4CA5-BA1A-5B64953D5417}" name="2017"/>
    <tableColumn id="8" xr3:uid="{961D8806-3B53-4B98-9BBE-6EA25CE07D20}" name="2018"/>
    <tableColumn id="9" xr3:uid="{D8201E5D-1184-4946-8879-2447E57084DE}" name="2019"/>
    <tableColumn id="10" xr3:uid="{AE09749D-FA3E-4D16-AE9F-01A9732F0E42}" name="2020"/>
    <tableColumn id="11" xr3:uid="{EA85D579-F1FB-4368-BBE0-8E4F2AC17D06}" name="2021"/>
    <tableColumn id="12" xr3:uid="{87792D04-44E1-4CEE-ABFE-088FEA773788}" name="2022"/>
  </tableColumns>
  <tableStyleInfo name="Estilo de tabla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6A2720-7AF1-4AB4-AE1D-2B19CD9B678D}" name="Tabla8" displayName="Tabla8" ref="A4:O7" totalsRowShown="0" headerRowDxfId="20" dataDxfId="19" headerRowCellStyle="Normal" dataCellStyle="Normal">
  <autoFilter ref="A4:O7" xr:uid="{E56A2720-7AF1-4AB4-AE1D-2B19CD9B678D}"/>
  <tableColumns count="15">
    <tableColumn id="1" xr3:uid="{4AF76FB7-48A9-4BED-8809-378217215DD4}" name="AÑO" dataDxfId="18" dataCellStyle="Normal"/>
    <tableColumn id="2" xr3:uid="{84270EB8-EDEE-4D90-9E7B-38CA01F8165C}" name="2.009" dataDxfId="17" dataCellStyle="Normal"/>
    <tableColumn id="3" xr3:uid="{B000F1CB-D00B-4E22-B1D6-4F5043E78511}" name="2.010" dataDxfId="16" dataCellStyle="Normal"/>
    <tableColumn id="4" xr3:uid="{D741F260-D6EC-44DD-B65B-F2C79027199C}" name="2.011" dataDxfId="15" dataCellStyle="Normal"/>
    <tableColumn id="5" xr3:uid="{836511DF-D98D-450A-A4F9-8B2629D5E224}" name="2.012" dataDxfId="14" dataCellStyle="Normal"/>
    <tableColumn id="6" xr3:uid="{54D0D41F-B3A0-4C5D-A620-96FBA5A59BF2}" name="2.013" dataDxfId="13" dataCellStyle="Normal"/>
    <tableColumn id="7" xr3:uid="{0842CF1A-A25A-4731-B2C9-48AFF0BBD7AA}" name="2.014" dataDxfId="12" dataCellStyle="Normal"/>
    <tableColumn id="8" xr3:uid="{9E4FAC74-C37C-446C-A1A2-AAB4716A9BCA}" name="2.015" dataDxfId="11" dataCellStyle="Normal"/>
    <tableColumn id="9" xr3:uid="{3A19CF8F-28BE-4D4E-ADE8-4E95DFEAF5C6}" name="2.016" dataDxfId="10" dataCellStyle="Normal"/>
    <tableColumn id="10" xr3:uid="{DE2DD6BB-D26E-4C23-BA5A-ADCC2EE6BE7A}" name="2.017" dataDxfId="9" dataCellStyle="Normal"/>
    <tableColumn id="11" xr3:uid="{7893A435-F6C7-4FAD-B2A5-7650129844D6}" name="2.018" dataDxfId="8" dataCellStyle="Normal"/>
    <tableColumn id="12" xr3:uid="{DA743CD0-BA05-492F-B916-6CABA540977C}" name="2.019" dataDxfId="7" dataCellStyle="Normal"/>
    <tableColumn id="13" xr3:uid="{FF27A1A1-AD2A-4FC0-8715-37F067A42D75}" name="2.020" dataDxfId="6" dataCellStyle="Normal"/>
    <tableColumn id="14" xr3:uid="{A928669F-0C90-433D-B8CA-A7474A60D1C3}" name="2.021" dataDxfId="5" dataCellStyle="Normal"/>
    <tableColumn id="15" xr3:uid="{CC3B4E45-0006-4551-A3D5-D49D80E439D8}" name="2.022" dataDxfId="4" dataCellStyle="Normal"/>
  </tableColumns>
  <tableStyleInfo name="Estilo de tabla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87679F7-AEFA-4EE9-966F-F2BDEF883887}" name="Tabla16" displayName="Tabla16" ref="A3:P20" totalsRowShown="0">
  <autoFilter ref="A3:P20" xr:uid="{E87679F7-AEFA-4EE9-966F-F2BDEF883887}"/>
  <tableColumns count="16">
    <tableColumn id="1" xr3:uid="{714FE75A-3E42-4EE3-A61B-CEEF82E281ED}" name="Código "/>
    <tableColumn id="2" xr3:uid="{BD8128E5-351E-49EB-BEE9-D91272602FF6}" name="LER"/>
    <tableColumn id="3" xr3:uid="{C86A9C3A-2D65-4BBD-8E0B-9E83EAB868CD}" name="Cantidad (t) 2016"/>
    <tableColumn id="4" xr3:uid="{F5188C8B-3FD9-4671-A45B-CEC9935E44E0}" name=" % 2016">
      <calculatedColumnFormula>C4/$C$20</calculatedColumnFormula>
    </tableColumn>
    <tableColumn id="5" xr3:uid="{0949691A-8011-414F-B503-252EEF2B297C}" name="Cantidad (t) 2017"/>
    <tableColumn id="6" xr3:uid="{85E09C4D-1431-4DAB-BA50-8BE3F7105892}" name=" % 2017">
      <calculatedColumnFormula>E4/$E$20</calculatedColumnFormula>
    </tableColumn>
    <tableColumn id="7" xr3:uid="{703F291D-7C1C-4D22-9F41-9A75F2BCD7B3}" name="Cantidad (t) 2018"/>
    <tableColumn id="8" xr3:uid="{AFB3D8F2-6BFF-4F1C-958E-1B44495F4D83}" name=" % 2018">
      <calculatedColumnFormula>G4/$G$20</calculatedColumnFormula>
    </tableColumn>
    <tableColumn id="9" xr3:uid="{4FE39582-631A-4E50-8DA2-ED9AF1994FFB}" name="Cantidad (t) 2019"/>
    <tableColumn id="10" xr3:uid="{A98C912A-6F9B-490E-9973-F43F1D9CCEC3}" name=" % 2019">
      <calculatedColumnFormula>I4/$I$20</calculatedColumnFormula>
    </tableColumn>
    <tableColumn id="11" xr3:uid="{1892AAD8-010B-483A-A41C-755036CB321B}" name="Cantidad (t) 2020"/>
    <tableColumn id="12" xr3:uid="{3493CBC7-E146-43B5-A0CC-493DD88CE808}" name=" % 2020">
      <calculatedColumnFormula>K4/$K$20</calculatedColumnFormula>
    </tableColumn>
    <tableColumn id="13" xr3:uid="{5B5CCC7C-B2A7-464A-AE8C-621FB46A9B2C}" name="Cantidad (t) 2021"/>
    <tableColumn id="14" xr3:uid="{A2F9AE82-BA8B-43EE-A962-1AEE1299D59A}" name=" % 2021"/>
    <tableColumn id="15" xr3:uid="{B954EAD9-B2C5-48E1-A412-A07E61596106}" name="Cantidad (t) 2022"/>
    <tableColumn id="16" xr3:uid="{B914743E-EB90-4103-8A58-7CD2E3D63C46}" name=" % 2022">
      <calculatedColumnFormula>O4/$O$20</calculatedColumnFormula>
    </tableColumn>
  </tableColumns>
  <tableStyleInfo name="Estilo de tabla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AAA75A-A05E-454A-BB77-06B76E0E5D7F}" name="Tabla2" displayName="Tabla2" ref="A3:B7" totalsRowShown="0">
  <autoFilter ref="A3:B7" xr:uid="{C8AAA75A-A05E-454A-BB77-06B76E0E5D7F}"/>
  <tableColumns count="2">
    <tableColumn id="1" xr3:uid="{5C7445C6-6ACE-47A9-B4C9-A282DB34980B}" name="Residuos de Construcción y Demolición"/>
    <tableColumn id="2" xr3:uid="{82804C30-7042-43F3-8AE6-E16B221C78E3}" name="Toneladas"/>
  </tableColumns>
  <tableStyleInfo name="Estilo de tabla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A42A20F-2BFF-44C8-B2CF-1D4840EE6DFB}" name="Tabla5" displayName="Tabla5" ref="A3:D5" totalsRowShown="0" headerRowDxfId="3">
  <autoFilter ref="A3:D5" xr:uid="{CA42A20F-2BFF-44C8-B2CF-1D4840EE6DFB}"/>
  <tableColumns count="4">
    <tableColumn id="1" xr3:uid="{C5C14B8C-D2FA-4BEC-AA1D-7CE50FFB4C8F}" name="Columna1"/>
    <tableColumn id="2" xr3:uid="{F754928F-B919-4233-BFFB-ED6F69249FB3}" name="Valorizadas">
      <calculatedColumnFormula>B3/D3</calculatedColumnFormula>
    </tableColumn>
    <tableColumn id="3" xr3:uid="{47DB644F-67E5-40D4-A233-A87999CEB4DE}" name="Eliminadas mediante depósito en vertedero">
      <calculatedColumnFormula>C3/D3</calculatedColumnFormula>
    </tableColumn>
    <tableColumn id="4" xr3:uid="{9B7A1EFC-15D8-4DDF-B9E7-B43BBADC6076}" name="TOTAL"/>
  </tableColumns>
  <tableStyleInfo name="Estilo de tabla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A14158-7667-4A0A-A33D-7E73D2FC0CC9}" name="Tabla11" displayName="Tabla11" ref="A3:O7" totalsRowShown="0" tableBorderDxfId="2">
  <autoFilter ref="A3:O7" xr:uid="{C0A14158-7667-4A0A-A33D-7E73D2FC0CC9}"/>
  <tableColumns count="15">
    <tableColumn id="1" xr3:uid="{0C4C0AB6-2182-47D3-8F6D-F4A3FF45ABFB}" name="Zona"/>
    <tableColumn id="2" xr3:uid="{64368495-2308-4D47-B0FC-56B1EFFA308A}" name="Localidad"/>
    <tableColumn id="3" xr3:uid="{95219696-8C25-406F-BBB2-295D3ADFF9A5}" name="Titular concesionario del servicio público"/>
    <tableColumn id="4" xr3:uid="{8F628ACB-1FD4-47AA-8CD5-0BEE8E8828B0}" name="2.011"/>
    <tableColumn id="5" xr3:uid="{BFAE9190-2B07-4150-BE96-15895853FEFB}" name="2.012"/>
    <tableColumn id="6" xr3:uid="{94E13648-F3AE-46BC-95DA-1865A896C322}" name="2.013"/>
    <tableColumn id="7" xr3:uid="{6CA48040-69E1-4AC8-821C-672913354FF6}" name="2.014"/>
    <tableColumn id="8" xr3:uid="{91D18DDB-ED83-4785-9BA9-4791CF5CF91F}" name="2.015"/>
    <tableColumn id="9" xr3:uid="{1A48F2B3-1A5F-42CE-9FCA-C6EFE3ADC965}" name="2016 (t)"/>
    <tableColumn id="10" xr3:uid="{95A19C6D-BF85-45A2-B00C-282F0BE0B32D}" name="2017 (t)"/>
    <tableColumn id="11" xr3:uid="{9CD8A5B1-DEF1-4EAC-A698-727D630CBBF5}" name="2018 (t)"/>
    <tableColumn id="12" xr3:uid="{5D1D3AFF-0312-4D56-A986-C537046FDA9C}" name="2019 (t)"/>
    <tableColumn id="13" xr3:uid="{B434416E-917A-456C-9EAD-DF34EE70C836}" name="2020 (t)"/>
    <tableColumn id="14" xr3:uid="{E2579CF4-F6C4-4EA2-9E5F-111B1605E464}" name="2021 (t)"/>
    <tableColumn id="15" xr3:uid="{60549730-198C-4FE5-ADAE-A0365DC84B70}" name="2022 (t)"/>
  </tableColumns>
  <tableStyleInfo name="Estilo de tabla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F26273-73A8-40CE-A87C-83150F30266A}" name="Tabla13" displayName="Tabla13" ref="A3:D9" totalsRowShown="0">
  <autoFilter ref="A3:D9" xr:uid="{9EF26273-73A8-40CE-A87C-83150F30266A}"/>
  <tableColumns count="4">
    <tableColumn id="1" xr3:uid="{65E34341-4960-4874-8751-C553D91989EB}" name="Descripción"/>
    <tableColumn id="2" xr3:uid="{AEF1D1A4-0549-4E96-A492-F22B08C6C6EA}" name="Código LER"/>
    <tableColumn id="3" xr3:uid="{330EAAD4-F719-4B78-A959-AEF2E0AFE95A}" name="%" dataDxfId="1" dataCellStyle="Porcentaje">
      <calculatedColumnFormula>D4/$D$9</calculatedColumnFormula>
    </tableColumn>
    <tableColumn id="4" xr3:uid="{B9EBF19F-DA76-4129-A603-3DC87E914FEE}" name="Tm"/>
  </tableColumns>
  <tableStyleInfo name="Estilo de tabla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9E46506-7BC1-4150-A80F-50F5D9B8BC18}" name="Tabla20" displayName="Tabla20" ref="A3:B10" totalsRowShown="0">
  <autoFilter ref="A3:B10" xr:uid="{39E46506-7BC1-4150-A80F-50F5D9B8BC18}"/>
  <tableColumns count="2">
    <tableColumn id="1" xr3:uid="{462F2E16-5BDA-4193-8CA3-89A44B2A6E3F}" name="Productor o gestor"/>
    <tableColumn id="2" xr3:uid="{D1EFA387-6266-463B-AF9B-10AABF41AD9A}" name="Cantidad"/>
  </tableColumns>
  <tableStyleInfo name="Estilo de tabla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A432CE6-71A4-4A03-9049-FF82E35A9010}" name="Tabla22" displayName="Tabla22" ref="A3:C24" totalsRowShown="0" headerRowDxfId="0">
  <autoFilter ref="A3:C24" xr:uid="{BA432CE6-71A4-4A03-9049-FF82E35A9010}"/>
  <tableColumns count="3">
    <tableColumn id="1" xr3:uid="{A9B0A35C-B4A7-4D42-A7DB-64CFB9E946E7}" name="Código LER"/>
    <tableColumn id="2" xr3:uid="{3134693C-8D74-4DE7-B237-60A99E1F199D}" name="Descripción"/>
    <tableColumn id="3" xr3:uid="{6F14C4B4-D80D-44F7-8133-5AE1A6A41D8A}" name="Cantidad de residuos (toneladas)"/>
  </tableColumns>
  <tableStyleInfo name="Estilo de tabla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EB596BA-F625-4CE7-9FDB-1AF342C3392D}" name="Tabla25" displayName="Tabla25" ref="A3:B9" totalsRowShown="0">
  <autoFilter ref="A3:B9" xr:uid="{4EB596BA-F625-4CE7-9FDB-1AF342C3392D}"/>
  <tableColumns count="2">
    <tableColumn id="1" xr3:uid="{271BFDD3-8015-4C52-AE1E-5346BD7EE24F}" name="Tratamiento"/>
    <tableColumn id="2" xr3:uid="{F95E6AA7-F62A-4541-805C-D13752DE4642}" name="Toneladas"/>
  </tableColumns>
  <tableStyleInfo name="Estilo de tabla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326626C-E0BE-4903-8906-39E94B0B3CFA}" name="Tabla35" displayName="Tabla35" ref="A3:B6" totalsRowShown="0">
  <autoFilter ref="A3:B6" xr:uid="{6326626C-E0BE-4903-8906-39E94B0B3CFA}"/>
  <tableColumns count="2">
    <tableColumn id="1" xr3:uid="{F5EB2DE0-83AA-4049-9758-64CE565F95D0}" name="Origen"/>
    <tableColumn id="2" xr3:uid="{A75B8AC3-81E5-49AC-8EA8-19E89B755DCC}" name="Toneladas"/>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88E7D3A-EC18-4D38-B3E3-C8BE3A2E793E}" name="Tabla6" displayName="Tabla6" ref="A3:F7" totalsRowShown="0" headerRowDxfId="132" dataDxfId="131" tableBorderDxfId="130">
  <autoFilter ref="A3:F7" xr:uid="{088E7D3A-EC18-4D38-B3E3-C8BE3A2E793E}"/>
  <tableColumns count="6">
    <tableColumn id="1" xr3:uid="{D470915F-0A50-4E85-B5C5-1AA8A7688990}" name="Columna1" dataDxfId="129"/>
    <tableColumn id="2" xr3:uid="{F25824BC-6EBD-44F3-BE12-B60F44938A10}" name="2018" dataDxfId="128"/>
    <tableColumn id="3" xr3:uid="{24A6C64D-5799-49A3-A4BA-39591BA313A3}" name="2019" dataDxfId="127"/>
    <tableColumn id="4" xr3:uid="{9D48DB4A-33E3-402A-BFC2-96D6CCA335B6}" name="2020" dataDxfId="126"/>
    <tableColumn id="5" xr3:uid="{25A4B753-EACE-434C-BE75-918720DA10FE}" name="2021" dataDxfId="125"/>
    <tableColumn id="6" xr3:uid="{EAE41575-60A5-4E34-B148-2E9B728245FB}" name="2022" dataDxfId="124"/>
  </tableColumns>
  <tableStyleInfo name="Estilo de tabla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8D6D4B4-B530-49DC-B39B-109798658361}" name="Tabla36" displayName="Tabla36" ref="A3:F4" totalsRowShown="0">
  <autoFilter ref="A3:F4" xr:uid="{D8D6D4B4-B530-49DC-B39B-109798658361}"/>
  <tableColumns count="6">
    <tableColumn id="1" xr3:uid="{4F6CB41D-DDEA-43D7-9DC1-88C3623C1034}" name="Columna1"/>
    <tableColumn id="2" xr3:uid="{F3A2C0C8-6DB6-458F-B8B4-13773F7E3E70}" name="Enviados a vertedero"/>
    <tableColumn id="3" xr3:uid="{A3C7C745-C2BF-47C5-83DD-D8E5BF48B234}" name="Enviados a valorización"/>
    <tableColumn id="4" xr3:uid="{34A72BA6-8A6C-432D-9845-BDEFD8C24685}" name="Gestión intermedia"/>
    <tableColumn id="5" xr3:uid="{705A90E0-D204-41AD-BBC9-2DF93311AF60}" name="Tratamiento Físico-Químico"/>
    <tableColumn id="6" xr3:uid="{9C3CD46D-2EBB-4E02-A872-6274CCA62434}" name="TOTAL"/>
  </tableColumns>
  <tableStyleInfo name="Estilo de tabla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3812251-9498-417D-8720-CE9D237D91E4}" name="Tabla42" displayName="Tabla42" ref="A4:D21" totalsRowShown="0">
  <autoFilter ref="A4:D21" xr:uid="{73812251-9498-417D-8720-CE9D237D91E4}"/>
  <tableColumns count="4">
    <tableColumn id="1" xr3:uid="{FC353A7E-6F92-4052-BAC3-341C422CA093}" name="Categoría RAEE"/>
    <tableColumn id="2" xr3:uid="{E0823983-B075-4223-834C-7F94CF3A34CE}" name="Preparación para la reutilización"/>
    <tableColumn id="3" xr3:uid="{2944C6BC-4066-42B7-9086-36519005758B}" name="Valorización (incluye reciclado y valorización energética)"/>
    <tableColumn id="4" xr3:uid="{D1F9DDFD-3834-4935-AB8C-9701CF8EB503}" name="Eliminación"/>
  </tableColumns>
  <tableStyleInfo name="Estilo de tabla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D97FFD1-D8EB-4A86-81C5-E084DF2354FE}" name="Tabla43" displayName="Tabla43" ref="A3:L7" totalsRowShown="0">
  <autoFilter ref="A3:L7" xr:uid="{8D97FFD1-D8EB-4A86-81C5-E084DF2354FE}"/>
  <tableColumns count="12">
    <tableColumn id="1" xr3:uid="{E54CA08C-0536-49E0-AC2E-C5C0E207482C}" name="Columna1"/>
    <tableColumn id="2" xr3:uid="{D6692543-5848-4A4A-B47D-7E4B450CDA6E}" name="2.012"/>
    <tableColumn id="3" xr3:uid="{4DFAF88D-D6D9-49E5-8ADC-5E25748C7F25}" name="2.013"/>
    <tableColumn id="4" xr3:uid="{226529ED-2DED-4E22-9AFC-C44CE677F07D}" name="2.014"/>
    <tableColumn id="5" xr3:uid="{E41C321F-328D-4888-9860-8FA8CC0058D5}" name="2.015"/>
    <tableColumn id="6" xr3:uid="{038DC82C-5878-4411-A21A-413FD5054360}" name="2.016"/>
    <tableColumn id="7" xr3:uid="{C886743C-8C39-4498-A6B8-1FB9B4032B31}" name="2.017"/>
    <tableColumn id="8" xr3:uid="{72553C5E-0532-4F43-A5D3-BC180C212FD0}" name="2.018"/>
    <tableColumn id="9" xr3:uid="{5D339A55-7E54-4C82-8436-7010D04F7B69}" name="2.019"/>
    <tableColumn id="10" xr3:uid="{F986151F-101B-427A-BE5B-FCFF729A1CF3}" name="2.020"/>
    <tableColumn id="11" xr3:uid="{5DED69B2-4AAA-4689-8220-9AD83F4F4899}" name="2.021"/>
    <tableColumn id="12" xr3:uid="{DDD8E33C-84E8-4636-A426-E8400624820E}" name="2.022"/>
  </tableColumns>
  <tableStyleInfo name="Estilo de tabla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CFBEC02-DAAF-4249-872E-E2A3B8F1C190}" name="Tabla44" displayName="Tabla44" ref="A3:B10" totalsRowShown="0">
  <autoFilter ref="A3:B10" xr:uid="{3CFBEC02-DAAF-4249-872E-E2A3B8F1C190}"/>
  <tableColumns count="2">
    <tableColumn id="1" xr3:uid="{D292E57E-3ED2-4205-B117-9C5F76788C30}" name="Columna1"/>
    <tableColumn id="3" xr3:uid="{8242735D-AF52-4D84-B897-02D5262B71C8}" name="2.022"/>
  </tableColumns>
  <tableStyleInfo name="Estilo de tabla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7B69FDD-9D4A-409A-B25A-B4BD8B71D638}" name="Tabla45" displayName="Tabla45" ref="A3:S6" totalsRowShown="0">
  <autoFilter ref="A3:S6" xr:uid="{17B69FDD-9D4A-409A-B25A-B4BD8B71D638}"/>
  <tableColumns count="19">
    <tableColumn id="1" xr3:uid="{D9CD08FA-80E5-428B-B5EC-16177AB37453}" name="Columna1"/>
    <tableColumn id="2" xr3:uid="{38E4F94C-7492-4523-8600-95D59B04373D}" name="Columna2"/>
    <tableColumn id="3" xr3:uid="{93ABE6D1-27C3-4FBC-94D0-8395D1634BAF}" name="Columna3"/>
    <tableColumn id="4" xr3:uid="{FAC16C15-83F4-4F38-B9CB-6441AD3A8D2E}" name="Columna4"/>
    <tableColumn id="5" xr3:uid="{48AD98F7-5261-4F79-823B-39FC449F16F7}" name="Columna5"/>
    <tableColumn id="6" xr3:uid="{87E6DBBB-8C84-4E9E-A63C-38FE4D310127}" name="Columna6"/>
    <tableColumn id="7" xr3:uid="{AFE3F0C4-4D1E-4346-9333-CC6FB646888D}" name="Columna7"/>
    <tableColumn id="8" xr3:uid="{A6A5F0C6-75F0-471D-91D9-39D5CBFB33EF}" name="Columna8"/>
    <tableColumn id="9" xr3:uid="{120A6B0B-1FBA-4291-8EAA-B67790DA1FA7}" name="Columna9"/>
    <tableColumn id="10" xr3:uid="{89D654F5-2E59-4D65-A327-41EF89679211}" name="Columna10"/>
    <tableColumn id="11" xr3:uid="{B07BB8A0-E4D1-4F5F-87D4-F20B4D08B520}" name="Columna11"/>
    <tableColumn id="12" xr3:uid="{99749E3D-9C16-4EC3-BE73-D3BE239F5D38}" name="Columna12"/>
    <tableColumn id="13" xr3:uid="{B1E65874-0666-4E1E-8D16-105A982BD8FA}" name="Columna13"/>
    <tableColumn id="14" xr3:uid="{28DB52E1-AA8F-403F-AA40-05F1F570E35F}" name="Columna14"/>
    <tableColumn id="15" xr3:uid="{6AD65FC0-5C7A-4459-8379-2864F2AEA4E2}" name="Columna15"/>
    <tableColumn id="16" xr3:uid="{503E11D2-7D63-4B72-B7A0-091BD6EBBE73}" name="Columna16"/>
    <tableColumn id="17" xr3:uid="{D3573E7C-5752-4B1B-BA6C-680C1C8EB4B8}" name="Columna17"/>
    <tableColumn id="18" xr3:uid="{C71C90F2-88CD-427D-90E4-67A6A3C5D3A8}" name="Columna18"/>
    <tableColumn id="19" xr3:uid="{D5EA0AAE-6964-41D0-8B10-F92684882191}" name="Columna19"/>
  </tableColumns>
  <tableStyleInfo name="Estilo de tabla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4CD8C70-0A0E-4424-B689-72AC2F846A8C}" name="Tabla46" displayName="Tabla46" ref="A3:C7" totalsRowShown="0">
  <autoFilter ref="A3:C7" xr:uid="{64CD8C70-0A0E-4424-B689-72AC2F846A8C}"/>
  <tableColumns count="3">
    <tableColumn id="1" xr3:uid="{92D5C938-F359-4B20-9F96-9F8E631B5F5C}" name="Provincia"/>
    <tableColumn id="2" xr3:uid="{1F515C66-F327-4567-8D7B-54E759383269}" name="Puntos de recogida"/>
    <tableColumn id="3" xr3:uid="{802A20CD-D4A8-454E-A14E-6DD9B3E07A6B}" name="Puntos colaboradores"/>
  </tableColumns>
  <tableStyleInfo name="Estilo de tabla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9FE973C-560F-4925-89B1-E3CC69F39C3E}" name="Tabla47" displayName="Tabla47" ref="A3:S4" totalsRowShown="0">
  <autoFilter ref="A3:S4" xr:uid="{89FE973C-560F-4925-89B1-E3CC69F39C3E}"/>
  <tableColumns count="19">
    <tableColumn id="1" xr3:uid="{1D7C70A1-DE46-43AB-87E6-9DE221210871}" name="Toneladas"/>
    <tableColumn id="2" xr3:uid="{D0E7BCBF-B3C2-4DA7-8680-8B22253A9285}" name="2.005"/>
    <tableColumn id="3" xr3:uid="{103F139E-57BC-4458-B7A8-475EBC77E1C9}" name="2.006"/>
    <tableColumn id="4" xr3:uid="{B62F8EF8-2229-4335-ACC0-C23289000833}" name="2.007"/>
    <tableColumn id="5" xr3:uid="{80392312-BD37-4C6F-AA41-A717C6223652}" name="2.008"/>
    <tableColumn id="6" xr3:uid="{0BE98AEF-3019-4750-8838-224335F3DFDC}" name="2.009"/>
    <tableColumn id="7" xr3:uid="{2198A043-320E-46C5-9A33-A10B61055053}" name="2.010"/>
    <tableColumn id="8" xr3:uid="{49F316CA-D269-4324-9259-2C9FECE129DC}" name="2.011"/>
    <tableColumn id="9" xr3:uid="{C5CC6C16-26DD-47C0-9EAD-93B0C7206107}" name="2.012"/>
    <tableColumn id="10" xr3:uid="{D209EE0C-E07D-4D39-9619-DC51EE7D1CEA}" name="2.013"/>
    <tableColumn id="11" xr3:uid="{0277379E-F1B3-412A-9199-8FE958B794D8}" name="2.014"/>
    <tableColumn id="12" xr3:uid="{11411F26-BF36-4D8B-A8E6-F4032AD9F149}" name="2.015"/>
    <tableColumn id="13" xr3:uid="{8A96692B-A101-4AA8-8124-0A6ECAE60DFF}" name="2.016"/>
    <tableColumn id="14" xr3:uid="{4D375AB6-426B-4D0D-8614-9C55FDEF1DAD}" name="2.017"/>
    <tableColumn id="15" xr3:uid="{6FF9D7B7-B8F8-4EB9-9F01-21A37B211B61}" name="2.018"/>
    <tableColumn id="16" xr3:uid="{0CBB42FB-8D8A-46AE-9652-99694BFDC3CD}" name="2.019"/>
    <tableColumn id="17" xr3:uid="{51E798FF-F66F-48FD-B3E2-89E6E1C61768}" name="2.020"/>
    <tableColumn id="18" xr3:uid="{19C3D4F9-4EC8-49ED-95E5-71ED3DDB9AB3}" name="2.021"/>
    <tableColumn id="19" xr3:uid="{E6F3CC7A-D492-4104-B58E-0D949B6995D3}" name="2.022"/>
  </tableColumns>
  <tableStyleInfo name="Estilo de tabla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DD620A8-B284-49E0-A6FF-E55329C66DD4}" name="Tabla48" displayName="Tabla48" ref="A3:C7" totalsRowShown="0">
  <autoFilter ref="A3:C7" xr:uid="{5DD620A8-B284-49E0-A6FF-E55329C66DD4}"/>
  <tableColumns count="3">
    <tableColumn id="1" xr3:uid="{048F83BA-4007-4DB2-87BA-390BC1F57FAD}" name="Provincia"/>
    <tableColumn id="2" xr3:uid="{93FED04F-AB68-48FB-9658-A9490B55B0ED}" name="Número de puntos de recogida operativos"/>
    <tableColumn id="3" xr3:uid="{13BBB382-9890-46F9-B057-EF64829BA279}" name="Toneladas recogidas"/>
  </tableColumns>
  <tableStyleInfo name="Estilo de tabla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76C1173-4E85-4A18-8240-5A4528550057}" name="Tabla49" displayName="Tabla49" ref="A3:O4" totalsRowShown="0">
  <autoFilter ref="A3:O4" xr:uid="{A76C1173-4E85-4A18-8240-5A4528550057}"/>
  <tableColumns count="15">
    <tableColumn id="1" xr3:uid="{B2029A19-C8D6-4691-AB9A-F1BDB5BDC776}" name="Columna1"/>
    <tableColumn id="2" xr3:uid="{8C9C09AD-C041-48EE-B3E7-CB8349D2D07A}" name="2.009"/>
    <tableColumn id="3" xr3:uid="{0E191C76-98C6-44C9-8218-71EA91F6A4BB}" name="2.010"/>
    <tableColumn id="4" xr3:uid="{703CE5C9-FA05-4515-B294-0DDDF1DEFD5F}" name="2.011"/>
    <tableColumn id="5" xr3:uid="{724C031B-D882-4BA7-A42C-03F946C61960}" name="2.012"/>
    <tableColumn id="6" xr3:uid="{A9020E20-81D5-4656-942A-F7C05C56F95D}" name="2.013"/>
    <tableColumn id="7" xr3:uid="{2D2C0689-BC5C-4FFA-9BF4-0A02D0AF955D}" name="2.014"/>
    <tableColumn id="8" xr3:uid="{4DB5EC70-B620-445B-82D5-05B7F55DD9CA}" name="2.015"/>
    <tableColumn id="9" xr3:uid="{DEB4DA8D-A24E-4801-8F0D-B0545BFFE378}" name="2.016"/>
    <tableColumn id="10" xr3:uid="{FEBD13DB-A60B-408A-978D-4A6B46847472}" name="2.017"/>
    <tableColumn id="11" xr3:uid="{40FEAFB9-D6D8-4635-8D90-F51347E58895}" name="2.018"/>
    <tableColumn id="12" xr3:uid="{99689B75-695D-4076-AEF8-12BEDE3A3FB2}" name="2.019"/>
    <tableColumn id="13" xr3:uid="{D8017318-4D30-402B-966A-32E60909CE26}" name="2.020"/>
    <tableColumn id="14" xr3:uid="{647DA313-8B1A-4316-873D-0BEDA207E4C3}" name="2.021"/>
    <tableColumn id="15" xr3:uid="{B1733CA5-7927-46B0-AE1A-5CFA07F9F600}" name="2.022">
      <calculatedColumnFormula>'Tabla 1.5-30'!C7</calculatedColumnFormula>
    </tableColumn>
  </tableColumns>
  <tableStyleInfo name="Estilo de tabla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0CA1B8C-41E4-4DE1-9836-8D5A6FAC688A}" name="Tabla50" displayName="Tabla50" ref="A3:B21" totalsRowShown="0">
  <autoFilter ref="A3:B21" xr:uid="{40CA1B8C-41E4-4DE1-9836-8D5A6FAC688A}"/>
  <tableColumns count="2">
    <tableColumn id="1" xr3:uid="{D063E9B4-7284-4894-95D9-1573DA7DBA72}" name="Año"/>
    <tableColumn id="2" xr3:uid="{4A291E86-CA73-4592-A145-626A9EC6D620}" name="Número de CAT"/>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27394DF-AE5F-4EE9-A5CB-838E0FDC790D}" name="Tabla7" displayName="Tabla7" ref="A3:C17" totalsRowShown="0" tableBorderDxfId="123">
  <autoFilter ref="A3:C17" xr:uid="{D27394DF-AE5F-4EE9-A5CB-838E0FDC790D}"/>
  <tableColumns count="3">
    <tableColumn id="1" xr3:uid="{5DA797B9-AF0A-41F5-8481-14CDD269681A}" name="Organizaciones registradas"/>
    <tableColumn id="2" xr3:uid="{164C197B-224B-4609-939D-3AB1F230754D}" name="Número de registro"/>
    <tableColumn id="3" xr3:uid="{AFED72FD-1A52-4A3C-80F5-46203A60680D}" name="Localidad"/>
  </tableColumns>
  <tableStyleInfo name="Estilo de tabla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63EF669-EA9F-4677-808D-8020F4DA5149}" name="Tabla51" displayName="Tabla51" ref="A3:S4" totalsRowShown="0">
  <autoFilter ref="A3:S4" xr:uid="{463EF669-EA9F-4677-808D-8020F4DA5149}"/>
  <tableColumns count="19">
    <tableColumn id="1" xr3:uid="{F75E3BCE-96A8-4162-8BE6-476DC2BDFF64}" name="Columna1"/>
    <tableColumn id="2" xr3:uid="{7EA642D2-9CC4-4741-92D0-0FECAEFD1616}" name="Columna2"/>
    <tableColumn id="3" xr3:uid="{4E07D435-DA62-4683-BF79-19F2254EEB84}" name="Columna3"/>
    <tableColumn id="4" xr3:uid="{DC317FFD-3A16-48A7-80D6-178371AAF2A2}" name="Columna4"/>
    <tableColumn id="5" xr3:uid="{CFB2E9A6-D2AE-4F15-A877-C7949E322D28}" name="Columna5"/>
    <tableColumn id="6" xr3:uid="{D2119425-2666-418D-8C84-B73667DFCC87}" name="Columna6"/>
    <tableColumn id="7" xr3:uid="{BA1BE69B-478B-487A-8578-F3E5C7460E94}" name="Columna7"/>
    <tableColumn id="8" xr3:uid="{C98A2A04-147F-420D-BC35-D250FDC93DDF}" name="Columna8"/>
    <tableColumn id="9" xr3:uid="{16F9BA05-DB02-4489-932D-0188356C86B3}" name="Columna9"/>
    <tableColumn id="10" xr3:uid="{E10096A1-5B54-4876-A403-EC6C09005100}" name="Columna10"/>
    <tableColumn id="11" xr3:uid="{030A9A71-30F1-4FB2-B410-B9C9256708CC}" name="Columna11"/>
    <tableColumn id="12" xr3:uid="{4B48095D-409F-4218-84DA-366A2534BE08}" name="Columna12"/>
    <tableColumn id="13" xr3:uid="{8E588D84-9EE5-4512-8C20-A503AA4C6394}" name="Columna13"/>
    <tableColumn id="14" xr3:uid="{1CF88765-E839-4A85-BE14-36BABBE22289}" name="Columna14"/>
    <tableColumn id="15" xr3:uid="{B2BDE367-E29F-4E20-B0CC-CC354D4E3E0B}" name="2.018"/>
    <tableColumn id="16" xr3:uid="{08E593E2-6698-49A0-B745-7DB8CADAB8BA}" name="2.019"/>
    <tableColumn id="17" xr3:uid="{44CB9857-7B1F-4C20-80BA-282CD1586B22}" name="2.020"/>
    <tableColumn id="18" xr3:uid="{C533414C-7E6C-410E-AE7B-F3C87DE91555}" name="2.021"/>
    <tableColumn id="19" xr3:uid="{E6AB5063-7568-4C1D-8610-570507282929}" name="2.022"/>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85E1B2D-CD03-4101-868D-0BCCF97A03C2}" name="Tabla9" displayName="Tabla9" ref="A3:N9" totalsRowShown="0" headerRowDxfId="122" dataDxfId="121" tableBorderDxfId="120">
  <autoFilter ref="A3:N9" xr:uid="{485E1B2D-CD03-4101-868D-0BCCF97A03C2}"/>
  <tableColumns count="14">
    <tableColumn id="1" xr3:uid="{854BDFC5-5406-4555-9AA2-88BCDE4D159C}" name="Columna1" dataDxfId="119"/>
    <tableColumn id="2" xr3:uid="{2FA39C7A-757D-4773-A40E-36CC30668947}" name="2010" dataDxfId="118" dataCellStyle="Millares"/>
    <tableColumn id="3" xr3:uid="{98E4A85D-EF9C-4307-9EB1-FCE47E605EF8}" name="2011" dataDxfId="117" dataCellStyle="Millares"/>
    <tableColumn id="4" xr3:uid="{4EE7D0A5-FB06-4FFF-82EC-254D44D3D8F6}" name="2012" dataDxfId="116" dataCellStyle="Millares"/>
    <tableColumn id="5" xr3:uid="{7BD4249B-E78D-435B-AA25-D70AC14B9EAD}" name="2013" dataDxfId="115" dataCellStyle="Millares"/>
    <tableColumn id="6" xr3:uid="{DB22B760-C614-4282-AD5E-42B2F4037B7A}" name="2014" dataDxfId="114" dataCellStyle="Millares"/>
    <tableColumn id="7" xr3:uid="{938E136E-F846-432F-BB99-6B364C0B946E}" name="2015" dataDxfId="113" dataCellStyle="Millares"/>
    <tableColumn id="8" xr3:uid="{A30F7D50-F5A6-40F1-8EC6-0056ACFFC8BF}" name="2016" dataDxfId="112" dataCellStyle="Millares"/>
    <tableColumn id="9" xr3:uid="{3CCD2348-1C66-47A7-87FF-F2A348033CD1}" name="2017" dataDxfId="111" dataCellStyle="Millares"/>
    <tableColumn id="10" xr3:uid="{13DAD4AF-12AF-43E6-BC9B-9661B6268E65}" name="2018" dataDxfId="110" dataCellStyle="Millares"/>
    <tableColumn id="11" xr3:uid="{E77868D2-C3CC-44C6-8BB6-C9C4194A8CC5}" name="2019" dataDxfId="109" dataCellStyle="Millares"/>
    <tableColumn id="12" xr3:uid="{225E55A4-D9D4-4580-BCD0-80446C90D90A}" name="2020" dataDxfId="108" dataCellStyle="Millares"/>
    <tableColumn id="13" xr3:uid="{AEE24FAB-CDC1-406A-852D-EEA6B68A472D}" name="2021" dataDxfId="107" dataCellStyle="Millares"/>
    <tableColumn id="14" xr3:uid="{21C94BFC-A6F7-4F78-B689-0B3146FD5857}" name="2022" dataDxfId="106" dataCellStyle="Millares"/>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06BA23-3CEE-4490-9D92-73A03A8D17CC}" name="Tabla10" displayName="Tabla10" ref="A3:I37" totalsRowShown="0" headerRowDxfId="105" dataDxfId="104">
  <autoFilter ref="A3:I37" xr:uid="{6906BA23-3CEE-4490-9D92-73A03A8D17CC}"/>
  <tableColumns count="9">
    <tableColumn id="1" xr3:uid="{F4B32A13-54CF-47A8-8E3A-21443317042F}" name="Agrupación" dataDxfId="103"/>
    <tableColumn id="2" xr3:uid="{9BA5DE1B-3BF2-4622-ABB9-8C4151153576}" name="Comarca" dataDxfId="102"/>
    <tableColumn id="3" xr3:uid="{D9DC416B-BDD4-4B98-954E-5648F7EE932B}" name="Número de habitantes" dataDxfId="101"/>
    <tableColumn id="4" xr3:uid="{AB7AE15C-4404-4A30-8A8A-6FD30A49EBF8}" name="Generación de fracción resto_x000a_(LER 200301) Total (t)" dataDxfId="100"/>
    <tableColumn id="5" xr3:uid="{452DD50B-C8C3-4D51-8F2F-383EE1BA7A22}" name="Generación de fracción resto_x000a_(LER 200301) kg/hab" dataDxfId="99">
      <calculatedColumnFormula>D4*1000/C4</calculatedColumnFormula>
    </tableColumn>
    <tableColumn id="6" xr3:uid="{D5EC873A-1F53-4AFF-8B62-C4277B3A0EA2}" name="Otros residuos en masa Total (t)" dataDxfId="98"/>
    <tableColumn id="7" xr3:uid="{AC0EDA84-5E18-4CDC-9F52-05CABA3784D5}" name="Otros residuos en masa Kg/hab" dataDxfId="97">
      <calculatedColumnFormula>F4*1000/C4</calculatedColumnFormula>
    </tableColumn>
    <tableColumn id="8" xr3:uid="{F99E0B08-0736-462F-9008-1D03534B0F05}" name="Biorresiduos _x000a_(LER 200108) Total (t)" dataDxfId="96"/>
    <tableColumn id="9" xr3:uid="{DCC81D9F-F060-45D4-BA85-367640D9C839}" name="Biorresiduos _x000a_(LER 200108) Kg/hab" dataDxfId="95">
      <calculatedColumnFormula>H4*1000/C4</calculatedColumnFormula>
    </tableColumn>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5CA859-2C0A-4CAC-B362-239F716B9409}" name="Tabla12" displayName="Tabla12" ref="A3:L8" totalsRowShown="0" headerRowDxfId="94" dataDxfId="93" tableBorderDxfId="92">
  <autoFilter ref="A3:L8" xr:uid="{815CA859-2C0A-4CAC-B362-239F716B9409}"/>
  <tableColumns count="12">
    <tableColumn id="1" xr3:uid="{07353153-B69F-4398-A07A-56EE103CC92F}" name="Columna1" dataDxfId="91"/>
    <tableColumn id="2" xr3:uid="{C51334B3-51E3-4B10-8998-FB3D06F3B4C3}" name="2012" dataDxfId="90" dataCellStyle="Porcentaje"/>
    <tableColumn id="3" xr3:uid="{2FCDF6CE-521F-4890-A8ED-566BB132B913}" name="2013" dataDxfId="89" dataCellStyle="Porcentaje"/>
    <tableColumn id="4" xr3:uid="{16ADE55F-12A6-4EC0-BD72-CAF29CCD2B11}" name="2014" dataDxfId="88" dataCellStyle="Porcentaje"/>
    <tableColumn id="5" xr3:uid="{4B9E49EE-5EC5-448D-9935-F9E1C854CE3B}" name="2015" dataDxfId="87" dataCellStyle="Porcentaje"/>
    <tableColumn id="6" xr3:uid="{67CCB002-8A27-4225-9B75-1545D1E5E65C}" name="2016" dataDxfId="86" dataCellStyle="Porcentaje"/>
    <tableColumn id="7" xr3:uid="{4DB93A87-B461-4B10-ACE8-D86B228C5888}" name="2017" dataDxfId="85" dataCellStyle="Porcentaje"/>
    <tableColumn id="8" xr3:uid="{3687AF02-9FA9-499C-8897-A80B3E2F4B08}" name="2018" dataDxfId="84" dataCellStyle="Porcentaje"/>
    <tableColumn id="9" xr3:uid="{E7DFE910-3260-41D4-A941-7AEB4C41E900}" name="2019" dataDxfId="83" dataCellStyle="Porcentaje"/>
    <tableColumn id="10" xr3:uid="{E57D4E81-E76D-4D2F-B9AC-483B1D997D59}" name="2020" dataDxfId="82" dataCellStyle="Porcentaje"/>
    <tableColumn id="11" xr3:uid="{CD41EAD9-72ED-4FB0-AC1B-8F02E5BB7787}" name="2021" dataDxfId="81" dataCellStyle="Porcentaje"/>
    <tableColumn id="12" xr3:uid="{F26FE6BD-285C-49A1-B8D5-2D1B319FE5B6}" name="2022" dataDxfId="80" dataCellStyle="Porcentaje"/>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19AC59F-7B10-4CEA-AC16-119434B309F2}" name="Tabla14" displayName="Tabla14" ref="A3:F11" totalsRowShown="0" tableBorderDxfId="79">
  <autoFilter ref="A3:F11" xr:uid="{A19AC59F-7B10-4CEA-AC16-119434B309F2}"/>
  <tableColumns count="6">
    <tableColumn id="1" xr3:uid="{D67557B6-1045-40D3-BCC4-9721CCF3AE99}" name="AGRUPACIÓN"/>
    <tableColumn id="2" xr3:uid="{7D7BFCB0-046B-4270-B1DC-478141CA8C61}" name="Recogido / generado (t) (1)" dataDxfId="78" dataCellStyle="Millares"/>
    <tableColumn id="3" xr3:uid="{81F9534C-E100-4C72-923B-D32FB970EB49}" name="Reutilización y reciclado (t)" dataDxfId="77" dataCellStyle="Millares"/>
    <tableColumn id="4" xr3:uid="{297419F6-B1D4-4406-B71E-B2EBBF23643A}" name="% Reutilización y reciclado" dataDxfId="76" dataCellStyle="Porcentaje"/>
    <tableColumn id="5" xr3:uid="{E1AB8210-D310-4FFE-9792-7387A58DE0C0}" name="Eliminado (t)" dataDxfId="75" dataCellStyle="Millares"/>
    <tableColumn id="6" xr3:uid="{036F08F0-47C1-42C7-B59C-804D28A58833}" name="% Eliminado" dataDxfId="74" dataCellStyle="Porcentaje"/>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2.v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drawing" Target="../drawings/drawing20.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22.xml"/><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pageSetUpPr fitToPage="1"/>
  </sheetPr>
  <dimension ref="A1:B55"/>
  <sheetViews>
    <sheetView tabSelected="1" zoomScale="112" zoomScaleNormal="112" zoomScaleSheetLayoutView="100" workbookViewId="0">
      <selection activeCell="B18" sqref="B18"/>
    </sheetView>
  </sheetViews>
  <sheetFormatPr baseColWidth="10" defaultColWidth="11.42578125" defaultRowHeight="14.25" x14ac:dyDescent="0.25"/>
  <cols>
    <col min="1" max="2" width="82.42578125" customWidth="1"/>
  </cols>
  <sheetData>
    <row r="1" spans="1:2" ht="16.5" x14ac:dyDescent="0.3">
      <c r="A1" s="941" t="s">
        <v>1226</v>
      </c>
      <c r="B1" s="941" t="s">
        <v>1227</v>
      </c>
    </row>
    <row r="2" spans="1:2" ht="21.75" customHeight="1" x14ac:dyDescent="0.25">
      <c r="A2" s="943" t="str">
        <f>'Tabla 1.5-1'!_Ref179889601</f>
        <v>Tabla 1.5‑1: Generación de Residuos año de referencia 2010 y valores objetivo para 2020 y 2025.</v>
      </c>
      <c r="B2" t="str">
        <f>'Tabla 1.5-1'!A2</f>
        <v>Fuente: Dirección General de Calidad Ambiental, a partir de lo declarado en gestión controlada.</v>
      </c>
    </row>
    <row r="3" spans="1:2" ht="28.5" x14ac:dyDescent="0.25">
      <c r="A3" s="943" t="str">
        <f>'Tabla 1.5-2'!_Ref214623438</f>
        <v>Tabla 1.5‑2: Evolución de las toneladas de residuos generados en Aragón. Años 2012-2022.</v>
      </c>
      <c r="B3" t="str">
        <f>'Tabla 1.5-2'!A2</f>
        <v>Fuente: Datos Dirección General de Calidad Ambiental, a partir de lo declarado en gestión controlada</v>
      </c>
    </row>
    <row r="4" spans="1:2" ht="28.5" x14ac:dyDescent="0.25">
      <c r="A4" s="943" t="str">
        <f>'Figura 1.5-1'!_Ref214623474</f>
        <v>Figura  1.5‑1: Cantidad total de residuos generados/año en Aragón (t). Años 2017-2022</v>
      </c>
      <c r="B4" t="str">
        <f>'Figura 1.5-1'!A2</f>
        <v>Fuente: Datos Dirección General Calidad Ambiental, a partir de lo declarado en gestión controlada</v>
      </c>
    </row>
    <row r="5" spans="1:2" ht="28.5" x14ac:dyDescent="0.25">
      <c r="A5" s="943" t="str">
        <f>'Figura 1.5-2'!_Ref214623508</f>
        <v>Figura  1.5‑2: Evolución del indicador cuantitativo kr/kp porcentual de Aragón. 2018-2022</v>
      </c>
      <c r="B5" t="str">
        <f>'Tabla 1.5-3'!A2</f>
        <v>Fuente: Dirección General de Calidad Ambiental a partir de datos del Instituto Aragonés de Gestión Ambiental (INAGA)</v>
      </c>
    </row>
    <row r="6" spans="1:2" x14ac:dyDescent="0.25">
      <c r="A6" s="943" t="str">
        <f>'Tabla 1.5-3'!_Toc215660248</f>
        <v>Tabla 1.5‑3: Organizaciones con Registro Europeo EMAS. Año 2022.</v>
      </c>
      <c r="B6" t="str">
        <f>'Figura 1.5-3'!A2</f>
        <v>Fuente: Dirección General de Calidad Ambiental</v>
      </c>
    </row>
    <row r="7" spans="1:2" x14ac:dyDescent="0.25">
      <c r="A7" s="943" t="str">
        <f>'Figura 1.5-3'!_Ref214623541</f>
        <v>Figura  1.5‑3: Generación de residuos municipales en Aragón. Años 2018 a 2022.</v>
      </c>
      <c r="B7" t="str">
        <f>'Figura 1.5-3'!A2</f>
        <v>Fuente: Dirección General de Calidad Ambiental</v>
      </c>
    </row>
    <row r="8" spans="1:2" ht="26.25" x14ac:dyDescent="0.25">
      <c r="A8" s="943" t="str">
        <f>'Tabla 1.5-4'!_Ref179892365</f>
        <v>Tabla 1.5‑4: Residuos municipales: Fracción resto (200301, biorresiduos (200108) y otros recogidos en masa en Aragón. Año 2022.</v>
      </c>
      <c r="B8" t="str">
        <f>'Tabla 1.5-4'!A2</f>
        <v>Fuente: Dirección General de Calidad Ambiental</v>
      </c>
    </row>
    <row r="9" spans="1:2" ht="28.5" x14ac:dyDescent="0.25">
      <c r="A9" s="943" t="str">
        <f>'Figura 1.5-5'!_Ref214623790</f>
        <v>Figura  1.5‑5:  Principales infraestructuras existentes para la gestión de residuos domésticos. Año 2022.</v>
      </c>
      <c r="B9" t="str">
        <f>'Tabla 1.5-3'!A2</f>
        <v>Fuente: Dirección General de Calidad Ambiental a partir de datos del Instituto Aragonés de Gestión Ambiental (INAGA)</v>
      </c>
    </row>
    <row r="10" spans="1:2" ht="26.25" x14ac:dyDescent="0.25">
      <c r="A10" s="943" t="str">
        <f>'Tabla 1.5-5'!_Ref179893536</f>
        <v>Tabla 1.5‑5: Cumplimiento de objetivos. Porcentaje de preparación para la reutilización y reciclado de residuos municipales según criterios MITERD. Año 2022.</v>
      </c>
      <c r="B10" t="str">
        <f>'Tabla 1.5-5'!A2</f>
        <v>Fuente: Dirección General de Calidad Ambiental</v>
      </c>
    </row>
    <row r="11" spans="1:2" ht="26.25" x14ac:dyDescent="0.25">
      <c r="A11" s="943" t="str">
        <f>'Tabla 1.5-6'!_Ref179894358</f>
        <v>Tabla 1.5‑6: Recogida selectiva de residuos domésticos y comerciales en puntos limpios (t). Año 2022.</v>
      </c>
      <c r="B11" t="str">
        <f>'Tabla 1.5-6'!A2</f>
        <v>Fuente: Dirección General de Calidad Ambiental</v>
      </c>
    </row>
    <row r="12" spans="1:2" ht="26.25" x14ac:dyDescent="0.25">
      <c r="A12" s="943" t="str">
        <f>'Tabla 1.5-7'!_Ref179894606</f>
        <v>Tabla 1.5‑7: Sistemas integrados de Gestión (SIG) de residuos domésticos y comerciales autorizados en Aragón. Año 2022.</v>
      </c>
      <c r="B12" t="str">
        <f>'Tabla 1.5-7'!A2</f>
        <v>Fuente: Dirección General de Calidad Ambiental</v>
      </c>
    </row>
    <row r="13" spans="1:2" ht="28.5" x14ac:dyDescent="0.25">
      <c r="A13" s="943" t="str">
        <f>' Tabla 1.5-8'!_Ref179894826</f>
        <v>Tabla 1.5‑8: Recogida de vidrio en contenedores de Aragón. Año 2022.</v>
      </c>
      <c r="B13" t="str">
        <f>' Tabla 1.5-8'!A2</f>
        <v>Fuente: Fuente: ECOVIDRIO y Comarca Campo de Borja. Elaborado por la Dirección General de Calidad Ambiental</v>
      </c>
    </row>
    <row r="14" spans="1:2" ht="28.5" x14ac:dyDescent="0.25">
      <c r="A14" s="943" t="str">
        <f>'Tabla 1.5-9'!_Ref179894939</f>
        <v>Tabla 1.5‑9: Recogida de vidrio en contenedores por Agrupaciones en Aragón. Año 2022</v>
      </c>
      <c r="B14" t="str">
        <f>'Tabla 1.5-9'!A2</f>
        <v>Fuente: ECOVIDRIO y Comarca del Campo de Borja. Elaborado por la Dirección General de Calidad Ambiental</v>
      </c>
    </row>
    <row r="15" spans="1:2" ht="28.5" x14ac:dyDescent="0.25">
      <c r="A15" s="943" t="str">
        <f>'Figura 1.5-6'!_Ref214623837</f>
        <v>Figura  1.5‑6: Evolución de la recogida de vidrio en contenedores en Aragón. Años 2018-2022.</v>
      </c>
      <c r="B15" t="str">
        <f>'Figura 1.5-6'!A2</f>
        <v>Fuente: ECOVIDRIO y Comarca del Campo de Borja. Elaborado por la Dirección General de Calidad Ambiental</v>
      </c>
    </row>
    <row r="16" spans="1:2" x14ac:dyDescent="0.25">
      <c r="A16" s="943" t="str">
        <f>'Tabla 1.5-10'!_Ref179895490</f>
        <v>Tabla 1.5‑10: Recogida de papel-cartón en contenedores en Aragón. Año 2022</v>
      </c>
      <c r="B16" t="str">
        <f>'Tabla 1.5-10'!A2</f>
        <v>Fuente: Ecoembalajes España, S.A. Elaborado por la Dirección General de Calidad Ambiental</v>
      </c>
    </row>
    <row r="17" spans="1:2" x14ac:dyDescent="0.25">
      <c r="A17" s="943" t="str">
        <f>'Tabla 1.5-11'!_Ref179895693</f>
        <v>Tabla 1.5‑11: Recogida de papel-cartón por agrupaciones en Aragón. Año 2022.</v>
      </c>
      <c r="B17" t="str">
        <f>'Tabla 1.5-11'!A2</f>
        <v>Fuente: Ecoembalajes España, S.A. Elaborado por la Dirección General de Calidad Ambiental</v>
      </c>
    </row>
    <row r="18" spans="1:2" ht="26.25" x14ac:dyDescent="0.25">
      <c r="A18" s="943" t="str">
        <f>'Figura 1.5-8'!_Ref214623872</f>
        <v>Figura  1.5‑8: Evolución de la recogida de papel-cartón en contenedores en Aragón. Años 2018-2022.</v>
      </c>
      <c r="B18" t="str">
        <f>'Figura 1.5-8'!A2</f>
        <v>Fuente: Ecoembalajes España, S.A. Elaborado por la Dirección General de Calidad Ambiental</v>
      </c>
    </row>
    <row r="19" spans="1:2" ht="28.5" x14ac:dyDescent="0.25">
      <c r="A19" s="943" t="str">
        <f>'Tabla 1.5-12'!_Toc215660257</f>
        <v>Tabla 1.5‑12: Recogida de envases ligeros en contenedores en Aragón. Año 2022.</v>
      </c>
      <c r="B19" t="str">
        <f>'Tabla 1.5-3'!A2</f>
        <v>Fuente: Dirección General de Calidad Ambiental a partir de datos del Instituto Aragonés de Gestión Ambiental (INAGA)</v>
      </c>
    </row>
    <row r="20" spans="1:2" ht="28.5" x14ac:dyDescent="0.25">
      <c r="A20" s="943" t="str">
        <f>'Tabla 1.5-13'!_Toc215660258</f>
        <v>Tabla 1.5‑13: Datos recogida de envases ligeros en contenedores por agrupaciones en Aragón. Año 2022.</v>
      </c>
      <c r="B20" t="str">
        <f>'Tabla 1.5-3'!A2</f>
        <v>Fuente: Dirección General de Calidad Ambiental a partir de datos del Instituto Aragonés de Gestión Ambiental (INAGA)</v>
      </c>
    </row>
    <row r="21" spans="1:2" ht="26.25" x14ac:dyDescent="0.25">
      <c r="A21" s="943" t="str">
        <f>'Figura 1.5-11'!_Ref214623993</f>
        <v>Figura  1.5‑11: Evolución de la recogida de envases ligeros en contenedores en Aragón. Años 2018-2022.</v>
      </c>
      <c r="B21" t="str">
        <f>'Figura 1.5-11'!A2</f>
        <v>Fuente: Ecoembalajes España, S.A. Elaborado por la Dirección General de Calidad Ambiental</v>
      </c>
    </row>
    <row r="22" spans="1:2" ht="26.25" x14ac:dyDescent="0.25">
      <c r="A22" s="943" t="str">
        <f>' Tabla 1.5-14'!_Ref179897162</f>
        <v>Tabla 1.5‑14: Recuperación de materiales procedentes de envases ligeros y envases de papel cartón en Aragón. Año 2022.</v>
      </c>
      <c r="B22" t="str">
        <f>' Tabla 1.5-14'!A2</f>
        <v>Fuente: Ecoembalajes España, S.A.</v>
      </c>
    </row>
    <row r="23" spans="1:2" x14ac:dyDescent="0.25">
      <c r="A23" s="943" t="str">
        <f>'Tabla 1.5-15'!_Ref179897271</f>
        <v>Tabla 1.5‑15: Distribución de puntos SIGRE en Aragón. Año 2022.</v>
      </c>
      <c r="B23" t="str">
        <f>'Tabla 1.5-15'!A2</f>
        <v>Fuente: SIGRE</v>
      </c>
    </row>
    <row r="24" spans="1:2" x14ac:dyDescent="0.25">
      <c r="A24" s="943" t="str">
        <f>'Figura 1.5-12'!_Ref214624021</f>
        <v>Figura  1.5‑12: Evolución de la recogida de envases farmacéuticos. Años 2018-2022.</v>
      </c>
      <c r="B24" t="str">
        <f>'Figura 1.5-12'!A2</f>
        <v>Fuente: SIGRE. Elaborado por la Dirección General de Calidad Ambiental.</v>
      </c>
    </row>
    <row r="25" spans="1:2" ht="26.25" x14ac:dyDescent="0.25">
      <c r="A25" s="943" t="str">
        <f>'Tabla 1.5-16'!_Ref179897839</f>
        <v>Tabla 1.5‑16: Cantidad de residuos no peligrosos producidos en Aragón por códigos LER. Año 2022.</v>
      </c>
      <c r="B25" t="str">
        <f>'Tabla 1.5-16'!A2</f>
        <v>Fuente: Dirección General de Calidad Ambiental</v>
      </c>
    </row>
    <row r="26" spans="1:2" ht="26.25" x14ac:dyDescent="0.25">
      <c r="A26" s="943" t="str">
        <f>'Figura 1.5-13'!_Ref214624054</f>
        <v>Figura  1.5‑13: Principales residuos no peligrosos producidos en Aragón con código LER. Año 2022.</v>
      </c>
      <c r="B26" t="str">
        <f>'Figura 1.5-13'!A2</f>
        <v>Fuente: Dirección General de Calidad Ambiental.</v>
      </c>
    </row>
    <row r="27" spans="1:2" ht="26.25" x14ac:dyDescent="0.25">
      <c r="A27" s="943" t="str">
        <f>'Tabla 1.5-17'!_Ref179899358</f>
        <v>Tabla 1.5‑17: Productores registrados y gestores de residuos no peligrosos autorizados (GNPA) y registrados (GNPR). Año 2022.</v>
      </c>
      <c r="B27" t="str">
        <f>'Tabla 1.5-17'!A2</f>
        <v>Fuente: Dirección General de Calidad Ambiental.</v>
      </c>
    </row>
    <row r="28" spans="1:2" x14ac:dyDescent="0.25">
      <c r="A28" s="943" t="str">
        <f>'Tabla 1.5-18'!_Ref179899563</f>
        <v>Tabla 1.5‑18: Gestión de residuos no peligrosos. Año 2022.</v>
      </c>
      <c r="B28" t="str">
        <f>'Tabla 1.5-18'!A2</f>
        <v>Fuente:  Dirección General de Calidad Ambiental</v>
      </c>
    </row>
    <row r="29" spans="1:2" x14ac:dyDescent="0.25">
      <c r="A29" s="943" t="str">
        <f>'Figura 1.5-14'!_Ref214624091</f>
        <v>Figura  1.5‑14: Evolución de la producción de lodos de EDAR en Aragón. Años 2018-2022</v>
      </c>
      <c r="B29" t="str">
        <f>'Figura 1.5-14'!A2</f>
        <v>Fuente: Dirección General de Calidad Ambiental</v>
      </c>
    </row>
    <row r="30" spans="1:2" x14ac:dyDescent="0.25">
      <c r="A30" s="943" t="str">
        <f>'Tabla 1.5-19'!_Ref179968444</f>
        <v>Tabla 1.5‑19: Destinos de los lodos de EDAR en Aragón. Año 2022.</v>
      </c>
      <c r="B30" t="str">
        <f>'Tabla 1.5-19'!A2</f>
        <v>Fuente: Dirección General de Calidad Ambiental</v>
      </c>
    </row>
    <row r="31" spans="1:2" ht="26.25" x14ac:dyDescent="0.25">
      <c r="A31" s="943" t="str">
        <f>'Figura 1.5-15'!_Toc215833447</f>
        <v>Figura  1.5‑15: Evolución de la eliminación de residuos industriales no peligrosos por el servicio público. Años 2018-2022.</v>
      </c>
      <c r="B31" t="str">
        <f>'Figura 1.5-15'!A2</f>
        <v>Fuente: Dirección General de Calidad Ambiental</v>
      </c>
    </row>
    <row r="32" spans="1:2" ht="26.25" x14ac:dyDescent="0.25">
      <c r="A32" s="943" t="str">
        <f>'Tabla 1.5.20'!_Ref179972737</f>
        <v>Tabla 1.5‑20: Principales residuos industriales no peligrosos expresados en toneladas y porcentaje gestionados por el servicio público. Serie 2018-2022.</v>
      </c>
      <c r="B32" t="str">
        <f>'Tabla 1.5.20'!A2</f>
        <v>Fuente: Dirección General Calidad Ambiental</v>
      </c>
    </row>
    <row r="33" spans="1:2" ht="26.25" x14ac:dyDescent="0.25">
      <c r="A33" s="943" t="str">
        <f>'Figura 1.5-16'!_Toc215833448</f>
        <v>Figura  1.5‑16: Residuos de construcción y demolición no peligrosos gestionados en Aragón (LER Capítulo 17). Año 2022.</v>
      </c>
      <c r="B33" t="str">
        <f>'Figura 1.5-16'!A2</f>
        <v>Fuente: Dirección General de Calidad Ambiental</v>
      </c>
    </row>
    <row r="34" spans="1:2" x14ac:dyDescent="0.25">
      <c r="A34" s="943" t="str">
        <f>'Tabla 1.5-21'!_Ref179973229</f>
        <v>Tabla 1.5‑21: Gestión de escombros. Año 2022</v>
      </c>
      <c r="B34" t="str">
        <f>'Tabla 1.5-21'!A2</f>
        <v>Fuente: Dirección General de Calidad Ambiental</v>
      </c>
    </row>
    <row r="35" spans="1:2" ht="26.25" x14ac:dyDescent="0.25">
      <c r="A35" s="943" t="str">
        <f>'Figura 1.5-17'!_Ref214624313</f>
        <v>Figura  1.5‑17: Cantidades Gestionadas por el servicio público de valorización y eliminación de escombros. Evolución 2018-2022.</v>
      </c>
      <c r="B35" t="str">
        <f>'Figura 1.5-17'!A2</f>
        <v>Fuente: Dirección General de Calidad Ambiental</v>
      </c>
    </row>
    <row r="36" spans="1:2" ht="26.25" x14ac:dyDescent="0.25">
      <c r="A36" s="943" t="str">
        <f>'Figura 1.5-18'!_Ref214624343</f>
        <v>Figura  1.5‑18: Distribución de residuos gestionados en el servicio público por código LER (excepto tierras y piedras). Año 2022.</v>
      </c>
      <c r="B36" t="str">
        <f>'Figura 1.5-18'!A2</f>
        <v>Fuente: Dirección General de Calidad Ambiental</v>
      </c>
    </row>
    <row r="37" spans="1:2" ht="26.25" x14ac:dyDescent="0.25">
      <c r="A37" s="943" t="str">
        <f>'Tabla 1.5-22'!_Ref179976263</f>
        <v>Tabla 1.5‑22: Número de productores, pequeños productores y gestores de residuos peligros. Año 2022.</v>
      </c>
      <c r="B37" t="str">
        <f>'Tabla 1.5-22'!A2</f>
        <v>Fuente: Dirección General de Calidad Ambiental</v>
      </c>
    </row>
    <row r="38" spans="1:2" x14ac:dyDescent="0.25">
      <c r="A38" s="943" t="str">
        <f>'Tabla 1.5-23'!_Ref179976453</f>
        <v>Tabla 1.5‑23: Cantidad de residuos peligrosos producidos en Aragón por código LER. Año 2022.</v>
      </c>
      <c r="B38" t="str">
        <f>'Tabla 1.5-23'!A2</f>
        <v>Fuente: Dirección General de Calidad Ambiental</v>
      </c>
    </row>
    <row r="39" spans="1:2" x14ac:dyDescent="0.25">
      <c r="A39" s="943" t="str">
        <f>'Tabla 1.5-24'!_Ref179976723</f>
        <v>Tabla 1.5‑24: Gestión de residuos peligrosos en Aragón por tipo de gestión. Año 2022.</v>
      </c>
      <c r="B39" t="str">
        <f>'Tabla 1.5-24'!A2</f>
        <v>Fuente: Dirección General de Calidad Ambiental</v>
      </c>
    </row>
    <row r="40" spans="1:2" x14ac:dyDescent="0.25">
      <c r="A40" s="943" t="str">
        <f>'Tabla 1.5-25'!_Toc216170811</f>
        <v>Tabla 1.5‑25: Gestión de residuos peligrosos en Aragón por origen. Año 2022.</v>
      </c>
      <c r="B40" t="str">
        <f>'Tabla 1.5-25'!A2</f>
        <v>Fuente: Dirección General de Calidad Ambiental</v>
      </c>
    </row>
    <row r="41" spans="1:2" x14ac:dyDescent="0.25">
      <c r="A41" s="943" t="str">
        <f>'Figura 1.5-19'!_Ref214624428</f>
        <v>Figura  1.5‑19: Gestión de residuos peligrosos en Aragón. Año 2022</v>
      </c>
      <c r="B41" t="str">
        <f>'Figura 1.5-19'!A2</f>
        <v>Fuente: Dirección General de Calidad Ambiental</v>
      </c>
    </row>
    <row r="42" spans="1:2" ht="39" x14ac:dyDescent="0.25">
      <c r="A42" s="943" t="str">
        <f>'Tabla 1.5-26'!_Ref179979306</f>
        <v>Tabla 1.5‑26: Recogida de residuos de aparatos eléctricos y electrónicos (RAEE) de usos doméstico (1) y profesional por los sistemas de responsabilidad ampliada del productor (2) y totales (3). Año 2022.</v>
      </c>
      <c r="B42" t="str">
        <f>'Tabla 1.5-26'!A2</f>
        <v>Fuente: SRAP. Elaborado por la Dirección General de Calidad Ambiental</v>
      </c>
    </row>
    <row r="43" spans="1:2" ht="28.5" x14ac:dyDescent="0.25">
      <c r="A43" s="943" t="str">
        <f>'Tabla 1.5-27'!_Ref179979534</f>
        <v>Tabla 1.5‑27: Tratamiento de residuos de aparatos eléctricos y electrónicos (RAEE) de los recogidos por los SCRAP y sistemas individuales en Aragón. Ejercicio 2022.</v>
      </c>
      <c r="B43" t="str">
        <f>'Tabla 1.5-27'!A2</f>
        <v>Fuente: Sistemas Integrados de Gestión. Elaborado por la Dirección General de Calidad Ambiental</v>
      </c>
    </row>
    <row r="44" spans="1:2" ht="28.5" x14ac:dyDescent="0.25">
      <c r="A44" s="943" t="str">
        <f>'Figura 1.5-20'!_Toc216170645</f>
        <v>Figura  1.5‑20: Tratamiento de Residuos de Aparatos Eléctricos y Electrónicos (RAEE) de los recogidos por los SCRAP y sistemas individuales en Aragón. Ejercicio 2022.</v>
      </c>
      <c r="B44" t="str">
        <f>'Figura 1.5-20'!A2</f>
        <v>Fuente: Sistemas Integrados de Gestión. Elaborado por la Dirección General de Calidad Ambiental</v>
      </c>
    </row>
    <row r="45" spans="1:2" ht="28.5" x14ac:dyDescent="0.25">
      <c r="A45" s="943" t="str">
        <f>'Figura 1.5-21'!_Ref214624681</f>
        <v>Figura  1.5‑21: Evolución de la recogida de RAEE en Aragón por parte de los SCRAP. Años 2018-2022.</v>
      </c>
      <c r="B45" t="str">
        <f>'Figura 1.5-21'!A2</f>
        <v>Fuente: Sistemas Integrados de Gestión. Elaborado por la Dirección General de Calidad Ambiental</v>
      </c>
    </row>
    <row r="46" spans="1:2" ht="28.5" x14ac:dyDescent="0.25">
      <c r="A46" s="943" t="str">
        <f>'Tabla 1.5-28'!_Ref179981713</f>
        <v>Tabla 1.5‑28: Recogida selectiva de pilas, acumuladores y baterías portátiles en Aragón. Año 2022.</v>
      </c>
      <c r="B46" t="str">
        <f>'Tabla 1.5-28'!A2</f>
        <v>Fuente: Elaborado por Dirección General de Calidad Ambiental a partir de la información proporcionada por los SCRAP autorizados.</v>
      </c>
    </row>
    <row r="47" spans="1:2" ht="28.5" x14ac:dyDescent="0.25">
      <c r="A47" s="943" t="str">
        <f>'Figura 1.5-22'!_Toc216170647</f>
        <v>Figura  1.5‑22: Evolución de la recogida selectiva de pilas, acumuladores y baterías portátiles. Años 2018-2022.</v>
      </c>
      <c r="B47" t="str">
        <f>'Figura 1.5-22'!A2</f>
        <v>Fuente: Elaborado por Dirección General de Calidad Ambiental a partir de la información proporcionada por los SCRAP autorizados.</v>
      </c>
    </row>
    <row r="48" spans="1:2" ht="28.5" x14ac:dyDescent="0.25">
      <c r="A48" s="943" t="str">
        <f>'Tabla 1.5-29'!_Toc216170815</f>
        <v>Tabla 1.5‑29: Recogida de envases fitosanitarios en Aragón. Año 2022.</v>
      </c>
      <c r="B48" t="str">
        <f>'Tabla 1.5-29'!A2</f>
        <v>Fuente: Dirección General de Calidad Ambiental a partir de las memorias de los SIG SIGFITO y AEVAE</v>
      </c>
    </row>
    <row r="49" spans="1:2" ht="26.25" x14ac:dyDescent="0.25">
      <c r="A49" s="943" t="str">
        <f>'Figura 1.5-23'!_Toc216170648</f>
        <v>Figura  1.5‑23: Cantidad de residuos de envases fitosanitarios recogidos en Aragón. Años 2018-2022.</v>
      </c>
      <c r="B49" t="str">
        <f>'Figura 1.5-23'!A2</f>
        <v>Fuente: Dirección General de Calidad Ambiental</v>
      </c>
    </row>
    <row r="50" spans="1:2" ht="28.5" x14ac:dyDescent="0.25">
      <c r="A50" s="943" t="str">
        <f>'Tabla 1.5-30'!_Ref216175082</f>
        <v>Tabla 1.5‑30: Recogida de neumáticos al final de su vida útil (NFU) por parte de los SIG. Año 2022.</v>
      </c>
      <c r="B50" t="str">
        <f>'Tabla 1.5-30'!A2</f>
        <v>Fuente: Dirección General de Calidad Ambiental elaborado por los datos proporcionados por los SIG</v>
      </c>
    </row>
    <row r="51" spans="1:2" ht="28.5" x14ac:dyDescent="0.25">
      <c r="A51" s="943" t="str">
        <f>'Figura 1.5-24'!_Ref214624753</f>
        <v>Figura  1.5‑24: Evolución de la recogida selectiva de NFU. Años 2018-2022.</v>
      </c>
      <c r="B51" t="str">
        <f>'Figura 1.5-24'!A2</f>
        <v>Fuente: Dirección General de Calidad Ambiental a partir de las memorias de los SIG NTU y SIGNUS</v>
      </c>
    </row>
    <row r="52" spans="1:2" ht="26.25" x14ac:dyDescent="0.25">
      <c r="A52" s="943" t="str">
        <f>'Tabla 1.5-31'!_Ref179982905</f>
        <v>Tabla 1.5‑31: Centros autorizados para el tratamiento (CAT) de vehículos al final de su vida útil (VFU). Año 2022</v>
      </c>
      <c r="B52" t="str">
        <f>'Tabla 1.5-31'!A2</f>
        <v>Fuente: Dirección General de Calidad Ambiental</v>
      </c>
    </row>
    <row r="53" spans="1:2" ht="26.25" x14ac:dyDescent="0.25">
      <c r="A53" s="943" t="str">
        <f>'Figura 1.5-25'!_Ref214624771</f>
        <v>Figura  1.5‑25: Certificados de destrucción de vehículos al final de su vida útil (VFU). Años 2018-2022.</v>
      </c>
      <c r="B53" t="str">
        <f>'Figura 1.5-25'!A2</f>
        <v>Fuente: Dirección General de Calidad Ambiental</v>
      </c>
    </row>
    <row r="54" spans="1:2" ht="26.25" x14ac:dyDescent="0.25">
      <c r="A54" s="943" t="str">
        <f>'Tabla 1.5-31 a 49'!A1</f>
        <v>Tablas 1.5-31 a 49de indicadores no compuestos (basados en datos proporcionados por la fuente que se referencia) sobre gestión de residuos en Aragón. Años 2012-2022.</v>
      </c>
      <c r="B54" t="str">
        <f>'Tabla 1.5-31 a 49'!A2</f>
        <v>Fuente: Dirección General de Calidad Ambiental</v>
      </c>
    </row>
    <row r="55" spans="1:2" ht="26.25" x14ac:dyDescent="0.25">
      <c r="A55" s="943" t="str">
        <f>'Tabla 1.5-50 a 70 '!A1</f>
        <v>Tablas 1.5-50 a 70: Indicadores compuestos o sintéticos sobre gestión de residuos en Aragón. Años 2012-2022.</v>
      </c>
      <c r="B55" t="str">
        <f>'Tabla 1.5-50 a 70 '!A2</f>
        <v>Fuente: Dirección General de Calidad Ambiental</v>
      </c>
    </row>
  </sheetData>
  <sheetProtection selectLockedCells="1" selectUnlockedCells="1"/>
  <phoneticPr fontId="33" type="noConversion"/>
  <hyperlinks>
    <hyperlink ref="A2" location="'Tabla 1.5-1'!A1" display="'Tabla 1.5-1'!A1" xr:uid="{CAD82443-E6F6-47C3-92EC-135F37728F8B}"/>
    <hyperlink ref="A3" location="'Tabla 1.5-2'!_Ref214623438" display="'Tabla 1.5-2'!_Ref214623438" xr:uid="{DAEF14B0-C203-4955-B689-7489DBD7D7F6}"/>
    <hyperlink ref="A4" location="'Figura 1.5-1'!_Ref214623474" display="'Figura 1.5-1'!_Ref214623474" xr:uid="{B4B511D9-0458-43AC-9C8D-65F77EF1FF93}"/>
    <hyperlink ref="A5" location="'Figura 1.5-2'!_Ref214623508" display="'Figura 1.5-2'!_Ref214623508" xr:uid="{0DEC5651-3687-4BDA-84A5-630E861B42F7}"/>
    <hyperlink ref="A6" location="'Tabla 1.5-3'!A1" display="'Tabla 1.5-3'!A1" xr:uid="{43824A37-D36C-4141-8950-FF0989772450}"/>
    <hyperlink ref="A7" location="'Figura 1.5-3'!_Ref214623541" display="'Figura 1.5-3'!_Ref214623541" xr:uid="{39F251A7-E104-4AFB-B9C2-15B8C25A23F0}"/>
    <hyperlink ref="A8" location="'Tabla 1.5-4'!_Ref179892365" display="'Tabla 1.5-4'!_Ref179892365" xr:uid="{35ADC55C-F5D2-437C-8DE2-BD87106570AE}"/>
    <hyperlink ref="A9" location="'Figura 1.5-5'!A1" display="'Figura 1.5-5'!A1" xr:uid="{3CD91ED1-B7A4-4251-A997-D9B2EE5237CB}"/>
    <hyperlink ref="A10" location="'Tabla 1.5-5'!_Ref179893536" display="'Tabla 1.5-5'!_Ref179893536" xr:uid="{2A996BE2-2939-498E-A866-8814E8261FB5}"/>
    <hyperlink ref="A11" location="'Tabla 1.5-6'!_Ref179894358" display="'Tabla 1.5-6'!_Ref179894358" xr:uid="{7B7D30BE-D4D1-4BDD-A21E-B3A52585CCA4}"/>
    <hyperlink ref="A12" location="'Tabla 1.5-7'!_Ref179894606" display="'Tabla 1.5-7'!_Ref179894606" xr:uid="{F71D1511-B395-49FC-AF61-1C00D1151A10}"/>
    <hyperlink ref="A13" location="' Tabla 1.5-8'!_Ref179894826" display="' Tabla 1.5-8'!_Ref179894826" xr:uid="{D006B749-2F26-4359-9CA0-C03BBAF997BA}"/>
    <hyperlink ref="A14" location="'Tabla 1.5-9'!_Ref179894939" display="'Tabla 1.5-9'!_Ref179894939" xr:uid="{610D00DD-8FDA-4D70-A75F-9CD502CBB36B}"/>
    <hyperlink ref="A15" location="'Figura 1.5-6'!_Ref214623837" display="'Figura 1.5-6'!_Ref214623837" xr:uid="{D6281101-B1CC-42DA-A050-B2F19BB532B6}"/>
    <hyperlink ref="A16" location="'Tabla 1.5-10'!_Ref179895490" display="'Tabla 1.5-10'!_Ref179895490" xr:uid="{EA7F764C-BF1E-49D0-A966-81AA0E4EBCC1}"/>
    <hyperlink ref="A17" location="'Tabla 1.5-11'!_Ref179895693" display="'Tabla 1.5-11'!_Ref179895693" xr:uid="{ADEA2CD9-80D9-4283-BB09-EB238A9FA733}"/>
    <hyperlink ref="A18" location="'Figura 1.5-8'!_Ref214623872" display="'Figura 1.5-8'!_Ref214623872" xr:uid="{B27F0191-C554-4E0D-8616-7756436497E3}"/>
    <hyperlink ref="A19" location="'Tabla 1.5-12'!A1" display="'Tabla 1.5-12'!A1" xr:uid="{FEF23829-931F-42B6-8B65-5EE403D91052}"/>
    <hyperlink ref="A20" location="'Tabla 1.5-13'!A1" display="'Tabla 1.5-13'!A1" xr:uid="{D6373BDB-39F5-49E4-838C-54902BB7A5D0}"/>
    <hyperlink ref="A21" location="'Figura 1.5-11'!_Ref214623993" display="'Figura 1.5-11'!_Ref214623993" xr:uid="{38D66413-FBB5-4CD3-B308-BED5B4B6DE79}"/>
    <hyperlink ref="A22" location="' Tabla 1.5-14'!_Ref179897162" display="' Tabla 1.5-14'!_Ref179897162" xr:uid="{912C6E32-58F8-43CF-B2DA-946F566D3925}"/>
    <hyperlink ref="A23" location="'Tabla 1.5-15'!_Ref179897271" display="'Tabla 1.5-15'!_Ref179897271" xr:uid="{B909A2BA-9190-430F-8A53-E8DDE41C5A8F}"/>
    <hyperlink ref="A24" location="'Figura 1.5-12'!_Ref214624021" display="'Figura 1.5-12'!_Ref214624021" xr:uid="{AE40EF96-690A-4534-964F-5FA34FDC323D}"/>
    <hyperlink ref="A25" location="'Tabla 1.5-16'!_Ref179897839" display="'Tabla 1.5-16'!_Ref179897839" xr:uid="{2573CBAB-00AA-49EC-913B-FC5D0F2A067C}"/>
    <hyperlink ref="A26" location="'Figura 1.5-13'!_Ref214624054" display="'Figura 1.5-13'!_Ref214624054" xr:uid="{28A52C1F-7774-44E3-BE12-FF0C2BB8EA64}"/>
    <hyperlink ref="A27" location="'Tabla 1.5-17'!_Ref179899358" display="'Tabla 1.5-17'!_Ref179899358" xr:uid="{057FF1AF-8128-4E3C-94EE-817077BDB135}"/>
    <hyperlink ref="A28" location="'Tabla 1.5-18'!_Ref179899563" display="'Tabla 1.5-18'!_Ref179899563" xr:uid="{C9C6DAF0-6D94-453E-A609-43140113E93F}"/>
    <hyperlink ref="A29" location="'Figura 1.5-14'!_Ref214624091" display="'Figura 1.5-14'!_Ref214624091" xr:uid="{6FF3D94D-9E2F-4BF6-B8BD-EE2046AF09F6}"/>
    <hyperlink ref="A30" location="'Tabla 1.5-19'!_Ref179968444" display="'Tabla 1.5-19'!_Ref179968444" xr:uid="{E6BF3937-42F1-4EE6-880F-694ECD7EDD64}"/>
    <hyperlink ref="A31" location="'Figura 1.5-15'!_Toc215833447" display="'Figura 1.5-15'!_Toc215833447" xr:uid="{C05D88CF-2269-47C5-AB83-BC6F2AE0E5DB}"/>
    <hyperlink ref="A32" location="'Tabla 1.5.20'!_Ref179972737" display="'Tabla 1.5.20'!_Ref179972737" xr:uid="{92FAFF13-A89A-48D4-953B-FC47965E5631}"/>
    <hyperlink ref="A33" location="'Figura 1.5-16'!_Toc215833448" display="'Figura 1.5-16'!_Toc215833448" xr:uid="{1CD32021-789B-4E4C-B2BC-8EC79B847239}"/>
    <hyperlink ref="A34" location="'Tabla 1.5-21'!_Ref179973229" display="'Tabla 1.5-21'!_Ref179973229" xr:uid="{27734BFF-D823-4D9F-BAA2-BF3A32C0CE76}"/>
    <hyperlink ref="A35" location="'Figura 1.5-17'!_Ref214624313" display="'Figura 1.5-17'!_Ref214624313" xr:uid="{8D10DDD4-BA91-49B0-AC4C-8F916A87008B}"/>
    <hyperlink ref="A36" location="'Figura 1.5-18'!_Ref214624343" display="'Figura 1.5-18'!_Ref214624343" xr:uid="{B0A429EE-15CF-4767-AC27-963972D387A9}"/>
    <hyperlink ref="A37" location="'Tabla 1.5-22'!_Ref179976263" display="'Tabla 1.5-22'!_Ref179976263" xr:uid="{95DF633E-B16C-4A51-ADFC-1BEA5E9E8AAF}"/>
    <hyperlink ref="A38" location="'Tabla 1.5-23'!_Ref179976453" display="'Tabla 1.5-23'!_Ref179976453" xr:uid="{50BAF57A-5C29-423F-BE91-27183F646904}"/>
    <hyperlink ref="A39" location="'Tabla 1.5-24'!_Ref179976723" display="'Tabla 1.5-24'!_Ref179976723" xr:uid="{7CC3CFE7-6324-4EC1-99B4-AA5BF9893EDF}"/>
    <hyperlink ref="A40" location="'Tabla 1.5-25'!A1" display="'Tabla 1.5-25'!A1" xr:uid="{45E1B88D-DC38-4827-A6AB-A558C7926679}"/>
    <hyperlink ref="A41" location="'Figura 1.5-19'!_Ref214624428" display="'Figura 1.5-19'!_Ref214624428" xr:uid="{A3C8E248-F93F-4D0B-BFAB-3A38ECC77A77}"/>
    <hyperlink ref="A42" location="'Tabla 1.5-26'!_Ref179979306" display="'Tabla 1.5-26'!_Ref179979306" xr:uid="{E83A5920-C498-413E-A50F-1369F818AE5D}"/>
    <hyperlink ref="A43" location="'Tabla 1.5-27'!_Ref179979534" display="'Tabla 1.5-27'!_Ref179979534" xr:uid="{7B6B1711-51A0-46B7-809A-790758AFB129}"/>
    <hyperlink ref="A44" location="'Figura 1.5-20'!_Toc216170645" display="'Figura 1.5-20'!_Toc216170645" xr:uid="{DED69906-9BCB-41B3-8D97-E38E2D77A1AB}"/>
    <hyperlink ref="A45" location="'Figura 1.5-21'!_Ref214624681" display="'Figura 1.5-21'!_Ref214624681" xr:uid="{9F83D977-6BB1-4E07-BC74-FECD82E6C395}"/>
    <hyperlink ref="A46" location="'Tabla 1.5-28'!_Ref179981713" display="'Tabla 1.5-28'!_Ref179981713" xr:uid="{07D7C6C5-710C-44F1-9A14-B08401A1D61C}"/>
    <hyperlink ref="A47" location="'Figura 1.5-22'!_Toc216170647" display="'Figura 1.5-22'!_Toc216170647" xr:uid="{9C772D4D-79F3-4D0E-9B1F-86F9A58264C3}"/>
    <hyperlink ref="A48" location="'Tabla 1.5-29'!_Toc216170815" display="'Tabla 1.5-29'!_Toc216170815" xr:uid="{CDACB9F2-E663-4F29-BD58-26400EFC83B5}"/>
    <hyperlink ref="A49" location="'Figura 1.5-23'!_Toc216170648" display="'Figura 1.5-23'!_Toc216170648" xr:uid="{48F3B1A5-44AE-4084-9A90-330FB5D5B971}"/>
    <hyperlink ref="A50" location="'Tabla 1.5-30'!_Ref216175082" display="'Tabla 1.5-30'!_Ref216175082" xr:uid="{153BB8AD-2B36-4E86-8E07-FEFB32198EAB}"/>
    <hyperlink ref="A51" location="'Figura 1.5-24'!_Ref214624753" display="'Figura 1.5-24'!_Ref214624753" xr:uid="{1E55C831-92E3-4F13-A9B1-66D3290C8705}"/>
    <hyperlink ref="A52" location="'Tabla 1.5-31'!_Ref179982905" display="'Tabla 1.5-31'!_Ref179982905" xr:uid="{1FC5DA3B-4458-41AA-BE39-6914AF2705F3}"/>
    <hyperlink ref="A53" location="'Figura 1.5-25'!_Ref214624771" display="'Figura 1.5-25'!_Ref214624771" xr:uid="{D27451DF-397C-41C4-8C1C-441432253D0F}"/>
    <hyperlink ref="A54" location="'Tabla 1.5-31 a 49'!_Toc216170818" display="'Tabla 1.5-31 a 49'!_Toc216170818" xr:uid="{18E4846E-8EEF-4D1E-9F71-45782B89D649}"/>
    <hyperlink ref="A55" location="'Tabla 1.5-50 a 70 '!Títulos_a_imprimir" display="'Tabla 1.5-50 a 70 '!Títulos_a_imprimir" xr:uid="{43E2E8ED-8312-4DD5-90BC-724DCA3193C4}"/>
  </hyperlinks>
  <pageMargins left="0.35972222222222222" right="0.3" top="0.75" bottom="1"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tabColor rgb="FFBF8B2E"/>
  </sheetPr>
  <dimension ref="A1:R12"/>
  <sheetViews>
    <sheetView workbookViewId="0">
      <selection activeCell="M1" sqref="M1"/>
    </sheetView>
  </sheetViews>
  <sheetFormatPr baseColWidth="10" defaultColWidth="11" defaultRowHeight="14.25" x14ac:dyDescent="0.25"/>
  <cols>
    <col min="1" max="1" width="15.42578125" style="563" customWidth="1"/>
    <col min="2" max="2" width="23.85546875" style="563" customWidth="1"/>
    <col min="3" max="4" width="25.5703125" style="563" customWidth="1"/>
    <col min="5" max="5" width="14.7109375" style="563" bestFit="1" customWidth="1"/>
    <col min="6" max="6" width="14.42578125" style="563" customWidth="1"/>
    <col min="7" max="16384" width="11" style="563"/>
  </cols>
  <sheetData>
    <row r="1" spans="1:18" x14ac:dyDescent="0.25">
      <c r="A1" s="555" t="s">
        <v>1074</v>
      </c>
      <c r="E1" s="942" t="s">
        <v>1230</v>
      </c>
    </row>
    <row r="2" spans="1:18" x14ac:dyDescent="0.25">
      <c r="A2" s="555" t="s">
        <v>91</v>
      </c>
      <c r="B2" s="603"/>
      <c r="C2" s="603"/>
      <c r="D2" s="603"/>
      <c r="E2" s="603"/>
      <c r="F2" s="603"/>
    </row>
    <row r="3" spans="1:18" x14ac:dyDescent="0.25">
      <c r="A3" t="s">
        <v>142</v>
      </c>
      <c r="B3" t="s">
        <v>1072</v>
      </c>
      <c r="C3" t="s">
        <v>143</v>
      </c>
      <c r="D3" t="s">
        <v>144</v>
      </c>
      <c r="E3" t="s">
        <v>145</v>
      </c>
      <c r="F3" t="s">
        <v>146</v>
      </c>
      <c r="G3" s="705"/>
      <c r="H3" s="647"/>
      <c r="I3" s="662"/>
      <c r="J3" s="662"/>
      <c r="K3" s="662"/>
      <c r="L3" s="662"/>
      <c r="M3" s="662"/>
      <c r="N3" s="662"/>
      <c r="O3" s="662"/>
      <c r="P3" s="662"/>
      <c r="Q3" s="662"/>
      <c r="R3" s="662"/>
    </row>
    <row r="4" spans="1:18" x14ac:dyDescent="0.25">
      <c r="A4" t="s">
        <v>147</v>
      </c>
      <c r="B4" s="559">
        <v>49674.765531088036</v>
      </c>
      <c r="C4" s="559">
        <v>11554.270706354042</v>
      </c>
      <c r="D4" s="707">
        <v>0.23259839443274305</v>
      </c>
      <c r="E4" s="559">
        <v>38120.494824733978</v>
      </c>
      <c r="F4" s="707">
        <v>0.76740160556725667</v>
      </c>
      <c r="G4" s="705"/>
      <c r="H4" s="680"/>
      <c r="I4" s="662"/>
      <c r="L4" s="662"/>
      <c r="N4" s="662"/>
      <c r="Q4" s="662"/>
      <c r="R4" s="662"/>
    </row>
    <row r="5" spans="1:18" x14ac:dyDescent="0.25">
      <c r="A5" t="s">
        <v>148</v>
      </c>
      <c r="B5" s="559">
        <v>38006.73367922871</v>
      </c>
      <c r="C5" s="559">
        <v>6994.7017418720316</v>
      </c>
      <c r="D5" s="707">
        <v>0.18403848646680071</v>
      </c>
      <c r="E5" s="559">
        <v>31012.031937356671</v>
      </c>
      <c r="F5" s="707">
        <v>0.81596151353319901</v>
      </c>
      <c r="G5" s="705"/>
      <c r="I5" s="662"/>
      <c r="L5" s="662"/>
      <c r="N5" s="662"/>
      <c r="Q5" s="662"/>
      <c r="R5" s="662"/>
    </row>
    <row r="6" spans="1:18" x14ac:dyDescent="0.25">
      <c r="A6" t="s">
        <v>149</v>
      </c>
      <c r="B6" s="559">
        <v>15755.169451097187</v>
      </c>
      <c r="C6" s="559">
        <v>2749.8683998768638</v>
      </c>
      <c r="D6" s="707">
        <v>0.17453753248495615</v>
      </c>
      <c r="E6" s="559">
        <v>13005.301051220325</v>
      </c>
      <c r="F6" s="707">
        <v>0.82546246751504393</v>
      </c>
      <c r="G6" s="705"/>
      <c r="I6" s="662"/>
      <c r="L6" s="662"/>
      <c r="N6" s="662"/>
      <c r="Q6" s="662"/>
      <c r="R6" s="662"/>
    </row>
    <row r="7" spans="1:18" x14ac:dyDescent="0.25">
      <c r="A7" t="s">
        <v>150</v>
      </c>
      <c r="B7" s="559">
        <v>39248.358927101057</v>
      </c>
      <c r="C7" s="559">
        <v>5645.0304204010345</v>
      </c>
      <c r="D7" s="707">
        <v>0.14382844467168615</v>
      </c>
      <c r="E7" s="559">
        <v>33603.328506700032</v>
      </c>
      <c r="F7" s="707">
        <v>0.85617155532831424</v>
      </c>
      <c r="G7" s="705"/>
      <c r="I7" s="662"/>
      <c r="L7" s="662"/>
      <c r="N7" s="662"/>
      <c r="Q7" s="662"/>
      <c r="R7" s="662"/>
    </row>
    <row r="8" spans="1:18" x14ac:dyDescent="0.25">
      <c r="A8" t="s">
        <v>151</v>
      </c>
      <c r="B8" s="559">
        <v>40396.11255479134</v>
      </c>
      <c r="C8" s="559">
        <v>17633.206214806163</v>
      </c>
      <c r="D8" s="707">
        <v>0.43650750281699341</v>
      </c>
      <c r="E8" s="559">
        <v>22762.906339985184</v>
      </c>
      <c r="F8" s="707">
        <v>0.56349249718300676</v>
      </c>
      <c r="G8" s="705"/>
      <c r="I8" s="662"/>
      <c r="L8" s="662"/>
      <c r="N8" s="662"/>
      <c r="Q8" s="662"/>
      <c r="R8" s="662"/>
    </row>
    <row r="9" spans="1:18" x14ac:dyDescent="0.25">
      <c r="A9" t="s">
        <v>152</v>
      </c>
      <c r="B9" s="559">
        <v>356310.65004522115</v>
      </c>
      <c r="C9" s="559">
        <v>174639.01400793102</v>
      </c>
      <c r="D9" s="707">
        <v>0.49013133339058707</v>
      </c>
      <c r="E9" s="559">
        <v>181671.63603729007</v>
      </c>
      <c r="F9" s="707">
        <v>0.50986866660941299</v>
      </c>
      <c r="G9" s="705"/>
      <c r="I9" s="662"/>
      <c r="L9" s="662"/>
      <c r="N9" s="662"/>
      <c r="Q9" s="662"/>
      <c r="R9" s="662"/>
    </row>
    <row r="10" spans="1:18" x14ac:dyDescent="0.25">
      <c r="A10" t="s">
        <v>153</v>
      </c>
      <c r="B10" s="559">
        <v>27714.164459418651</v>
      </c>
      <c r="C10" s="559">
        <v>4533.0856410194638</v>
      </c>
      <c r="D10" s="707">
        <v>0.16356566143847417</v>
      </c>
      <c r="E10" s="559">
        <v>23181.07881839919</v>
      </c>
      <c r="F10" s="707">
        <v>0.83643433856152583</v>
      </c>
      <c r="G10" s="705"/>
      <c r="I10" s="662"/>
      <c r="L10" s="662"/>
      <c r="N10" s="662"/>
      <c r="Q10" s="662"/>
      <c r="R10" s="662"/>
    </row>
    <row r="11" spans="1:18" x14ac:dyDescent="0.25">
      <c r="A11" t="s">
        <v>154</v>
      </c>
      <c r="B11" s="559">
        <v>36976.695263441681</v>
      </c>
      <c r="C11" s="559">
        <v>4436.5087742911819</v>
      </c>
      <c r="D11" s="707">
        <v>0.11998121364505751</v>
      </c>
      <c r="E11" s="559">
        <v>32540.186489150499</v>
      </c>
      <c r="F11" s="707">
        <v>0.88001878635494246</v>
      </c>
      <c r="G11" s="705"/>
      <c r="I11" s="662"/>
      <c r="L11" s="662"/>
      <c r="N11" s="662"/>
      <c r="Q11" s="662"/>
      <c r="R11" s="662"/>
    </row>
    <row r="12" spans="1:18" ht="42.75" customHeight="1" x14ac:dyDescent="0.25">
      <c r="A12" s="945" t="s">
        <v>1073</v>
      </c>
      <c r="B12" s="946"/>
      <c r="C12" s="946"/>
      <c r="D12" s="946"/>
      <c r="E12" s="946"/>
      <c r="F12" s="947"/>
      <c r="G12" s="706"/>
    </row>
  </sheetData>
  <sheetProtection selectLockedCells="1" selectUnlockedCells="1"/>
  <mergeCells count="1">
    <mergeCell ref="A12:F12"/>
  </mergeCells>
  <phoneticPr fontId="33" type="noConversion"/>
  <hyperlinks>
    <hyperlink ref="E1" location="Índice!A1" display="ir a índice" xr:uid="{F05CDFEB-8922-449B-A8DE-3EE214F2112F}"/>
  </hyperlinks>
  <pageMargins left="0.75" right="0.75" top="1" bottom="1" header="0.51180555555555551" footer="0.51180555555555551"/>
  <pageSetup paperSize="9" firstPageNumber="0" orientation="landscape"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tabColor rgb="FFBF8B2E"/>
    <pageSetUpPr fitToPage="1"/>
  </sheetPr>
  <dimension ref="A1:R13"/>
  <sheetViews>
    <sheetView workbookViewId="0">
      <selection activeCell="M1" sqref="M1"/>
    </sheetView>
  </sheetViews>
  <sheetFormatPr baseColWidth="10" defaultColWidth="11.42578125" defaultRowHeight="14.25" x14ac:dyDescent="0.25"/>
  <cols>
    <col min="1" max="4" width="10.42578125" style="612" customWidth="1"/>
    <col min="5" max="5" width="12.85546875" style="612" customWidth="1"/>
    <col min="6" max="16" width="10.42578125" style="612" customWidth="1"/>
    <col min="17" max="16384" width="11.42578125" style="612"/>
  </cols>
  <sheetData>
    <row r="1" spans="1:18" x14ac:dyDescent="0.25">
      <c r="A1" s="555" t="s">
        <v>1076</v>
      </c>
      <c r="B1" s="615"/>
      <c r="C1" s="615"/>
      <c r="D1" s="615"/>
      <c r="E1" s="942" t="s">
        <v>1230</v>
      </c>
      <c r="F1" s="708"/>
      <c r="G1" s="709"/>
      <c r="H1" s="708"/>
      <c r="I1" s="708"/>
      <c r="J1" s="710"/>
      <c r="K1" s="710"/>
      <c r="L1" s="711"/>
      <c r="M1" s="712"/>
      <c r="N1" s="712"/>
      <c r="O1" s="712"/>
    </row>
    <row r="2" spans="1:18" x14ac:dyDescent="0.25">
      <c r="A2" s="555" t="s">
        <v>91</v>
      </c>
      <c r="B2" s="715"/>
      <c r="C2" s="715"/>
      <c r="D2" s="713"/>
      <c r="E2" s="713"/>
      <c r="F2" s="713"/>
      <c r="G2" s="714"/>
      <c r="H2" s="714"/>
      <c r="I2" s="714"/>
      <c r="J2" s="714"/>
      <c r="K2" s="714"/>
      <c r="L2" s="711"/>
      <c r="M2" s="712"/>
      <c r="N2" s="712"/>
      <c r="O2" s="712"/>
    </row>
    <row r="3" spans="1:18" ht="127.5" customHeight="1" x14ac:dyDescent="0.25">
      <c r="A3" s="698" t="s">
        <v>155</v>
      </c>
      <c r="B3" s="698" t="s">
        <v>156</v>
      </c>
      <c r="C3" s="698" t="s">
        <v>157</v>
      </c>
      <c r="D3" s="698" t="s">
        <v>158</v>
      </c>
      <c r="E3" s="698" t="s">
        <v>159</v>
      </c>
      <c r="F3" s="698" t="s">
        <v>160</v>
      </c>
      <c r="G3" s="698" t="s">
        <v>161</v>
      </c>
      <c r="H3" s="698" t="s">
        <v>162</v>
      </c>
      <c r="I3" s="698" t="s">
        <v>163</v>
      </c>
      <c r="J3" s="698" t="s">
        <v>1075</v>
      </c>
      <c r="K3" s="698" t="s">
        <v>164</v>
      </c>
      <c r="L3" s="698" t="s">
        <v>165</v>
      </c>
      <c r="M3" s="698" t="s">
        <v>166</v>
      </c>
      <c r="N3" s="698" t="s">
        <v>167</v>
      </c>
      <c r="O3" s="698" t="s">
        <v>168</v>
      </c>
      <c r="P3" s="698" t="s">
        <v>136</v>
      </c>
      <c r="R3" s="716"/>
    </row>
    <row r="4" spans="1:18" ht="12.75" customHeight="1" x14ac:dyDescent="0.25">
      <c r="A4" s="604" t="s">
        <v>169</v>
      </c>
      <c r="B4" s="604">
        <v>205.22</v>
      </c>
      <c r="C4" s="604">
        <v>17.05</v>
      </c>
      <c r="D4" s="604">
        <v>157.18800000000002</v>
      </c>
      <c r="E4" s="604">
        <v>10.84</v>
      </c>
      <c r="F4" s="604">
        <v>44.841000000000001</v>
      </c>
      <c r="G4" s="604">
        <v>1043.7559999999999</v>
      </c>
      <c r="H4" s="604">
        <v>12.955</v>
      </c>
      <c r="I4" s="604">
        <v>0.69599999999999995</v>
      </c>
      <c r="J4" s="604">
        <v>2.2880000000000003</v>
      </c>
      <c r="K4" s="604">
        <v>371.10390000000001</v>
      </c>
      <c r="L4" s="604">
        <v>0</v>
      </c>
      <c r="M4" s="604">
        <v>765.53000000000009</v>
      </c>
      <c r="N4" s="604">
        <v>38.706999999999994</v>
      </c>
      <c r="O4" s="604">
        <v>902.1</v>
      </c>
      <c r="P4" s="604">
        <f>SUM(B4:O4)</f>
        <v>3572.2748999999999</v>
      </c>
      <c r="Q4" s="717"/>
      <c r="R4" s="718"/>
    </row>
    <row r="5" spans="1:18" ht="12.75" customHeight="1" x14ac:dyDescent="0.25">
      <c r="A5" s="604" t="s">
        <v>170</v>
      </c>
      <c r="B5" s="604">
        <v>71.03</v>
      </c>
      <c r="C5" s="604">
        <v>0</v>
      </c>
      <c r="D5" s="604">
        <v>60.08</v>
      </c>
      <c r="E5" s="604">
        <v>36</v>
      </c>
      <c r="F5" s="604">
        <v>8.74</v>
      </c>
      <c r="G5" s="604">
        <v>154.87</v>
      </c>
      <c r="H5" s="604">
        <v>0</v>
      </c>
      <c r="I5" s="604">
        <v>5.13</v>
      </c>
      <c r="J5" s="604">
        <v>2.3E-2</v>
      </c>
      <c r="K5" s="604">
        <v>42.701000000000001</v>
      </c>
      <c r="L5" s="604">
        <v>0</v>
      </c>
      <c r="M5" s="604">
        <v>551.88499999999999</v>
      </c>
      <c r="N5" s="604">
        <v>10.103</v>
      </c>
      <c r="O5" s="604">
        <v>107.16</v>
      </c>
      <c r="P5" s="604">
        <f>SUM(B5:O5)</f>
        <v>1047.722</v>
      </c>
      <c r="Q5" s="719"/>
      <c r="R5" s="720"/>
    </row>
    <row r="6" spans="1:18" ht="12.75" customHeight="1" x14ac:dyDescent="0.25">
      <c r="A6" s="604" t="s">
        <v>171</v>
      </c>
      <c r="B6" s="604">
        <v>1.52</v>
      </c>
      <c r="C6" s="604">
        <v>0</v>
      </c>
      <c r="D6" s="604">
        <v>7.8</v>
      </c>
      <c r="E6" s="604">
        <v>3.9</v>
      </c>
      <c r="F6" s="604">
        <v>3.74</v>
      </c>
      <c r="G6" s="604">
        <v>57.36</v>
      </c>
      <c r="H6" s="604">
        <v>0</v>
      </c>
      <c r="I6" s="604">
        <v>3.48</v>
      </c>
      <c r="J6" s="604">
        <v>0</v>
      </c>
      <c r="K6" s="604">
        <v>42.95</v>
      </c>
      <c r="L6" s="604">
        <v>1.19</v>
      </c>
      <c r="M6" s="604">
        <v>0</v>
      </c>
      <c r="N6" s="604">
        <v>68.22</v>
      </c>
      <c r="O6" s="604">
        <v>0</v>
      </c>
      <c r="P6" s="604">
        <f t="shared" ref="P6:P11" si="0">SUM(B6:O6)</f>
        <v>190.16</v>
      </c>
      <c r="R6" s="720"/>
    </row>
    <row r="7" spans="1:18" ht="12.75" customHeight="1" x14ac:dyDescent="0.25">
      <c r="A7" s="604" t="s">
        <v>172</v>
      </c>
      <c r="B7" s="604">
        <v>24.98</v>
      </c>
      <c r="C7" s="604">
        <v>0</v>
      </c>
      <c r="D7" s="604">
        <v>42.7</v>
      </c>
      <c r="E7" s="604">
        <v>0</v>
      </c>
      <c r="F7" s="604">
        <v>0</v>
      </c>
      <c r="G7" s="604">
        <v>251.64</v>
      </c>
      <c r="H7" s="604">
        <v>0</v>
      </c>
      <c r="I7" s="604">
        <v>2.5750000000000002</v>
      </c>
      <c r="J7" s="604">
        <v>0</v>
      </c>
      <c r="K7" s="604">
        <v>109.92100000000001</v>
      </c>
      <c r="L7" s="604">
        <v>1.32</v>
      </c>
      <c r="M7" s="604">
        <v>241.68</v>
      </c>
      <c r="N7" s="604">
        <v>10.073</v>
      </c>
      <c r="O7" s="604">
        <v>719.96</v>
      </c>
      <c r="P7" s="604">
        <f t="shared" si="0"/>
        <v>1404.8490000000002</v>
      </c>
      <c r="R7" s="676"/>
    </row>
    <row r="8" spans="1:18" ht="12.75" customHeight="1" x14ac:dyDescent="0.25">
      <c r="A8" s="604" t="s">
        <v>173</v>
      </c>
      <c r="B8" s="604">
        <v>40.980000000000004</v>
      </c>
      <c r="C8" s="604">
        <v>0</v>
      </c>
      <c r="D8" s="604">
        <v>20.7</v>
      </c>
      <c r="E8" s="604">
        <v>44.56</v>
      </c>
      <c r="F8" s="604">
        <v>7.78</v>
      </c>
      <c r="G8" s="604">
        <v>94.84</v>
      </c>
      <c r="H8" s="604">
        <v>0</v>
      </c>
      <c r="I8" s="604">
        <v>0.78</v>
      </c>
      <c r="J8" s="604">
        <v>0</v>
      </c>
      <c r="K8" s="604">
        <v>64.823999999999998</v>
      </c>
      <c r="L8" s="604">
        <v>0.19500000000000001</v>
      </c>
      <c r="M8" s="604">
        <v>60.29</v>
      </c>
      <c r="N8" s="604">
        <v>1.94</v>
      </c>
      <c r="O8" s="604">
        <v>97.96</v>
      </c>
      <c r="P8" s="604">
        <f t="shared" si="0"/>
        <v>434.84899999999999</v>
      </c>
    </row>
    <row r="9" spans="1:18" ht="12.75" customHeight="1" x14ac:dyDescent="0.25">
      <c r="A9" s="604" t="s">
        <v>174</v>
      </c>
      <c r="B9" s="604">
        <v>343.21</v>
      </c>
      <c r="C9" s="604">
        <v>6.0649999999999995</v>
      </c>
      <c r="D9" s="604">
        <v>74.58</v>
      </c>
      <c r="E9" s="604">
        <v>0</v>
      </c>
      <c r="F9" s="604">
        <v>0</v>
      </c>
      <c r="G9" s="604">
        <v>1601.8799999999999</v>
      </c>
      <c r="H9" s="604">
        <v>12.3</v>
      </c>
      <c r="I9" s="604">
        <v>15.225999999999999</v>
      </c>
      <c r="J9" s="604">
        <v>6.6910000000000007</v>
      </c>
      <c r="K9" s="604">
        <v>491.48520000000002</v>
      </c>
      <c r="L9" s="604">
        <v>2.0190000000000001</v>
      </c>
      <c r="M9" s="604">
        <v>9443.0400000000009</v>
      </c>
      <c r="N9" s="604">
        <v>77.195000000000007</v>
      </c>
      <c r="O9" s="604">
        <v>35219.144999999997</v>
      </c>
      <c r="P9" s="604">
        <f t="shared" si="0"/>
        <v>47292.836199999998</v>
      </c>
    </row>
    <row r="10" spans="1:18" ht="12.75" customHeight="1" x14ac:dyDescent="0.25">
      <c r="A10" s="604" t="s">
        <v>175</v>
      </c>
      <c r="B10" s="604">
        <v>98.2</v>
      </c>
      <c r="C10" s="604">
        <v>0</v>
      </c>
      <c r="D10" s="604">
        <v>49.2</v>
      </c>
      <c r="E10" s="604">
        <v>0</v>
      </c>
      <c r="F10" s="604">
        <v>0</v>
      </c>
      <c r="G10" s="604">
        <v>37.549999999999997</v>
      </c>
      <c r="H10" s="604">
        <v>0</v>
      </c>
      <c r="I10" s="604">
        <v>5.3</v>
      </c>
      <c r="J10" s="604">
        <v>0</v>
      </c>
      <c r="K10" s="604">
        <v>141.196</v>
      </c>
      <c r="L10" s="604">
        <v>0</v>
      </c>
      <c r="M10" s="604">
        <v>200.81</v>
      </c>
      <c r="N10" s="604">
        <v>18.29</v>
      </c>
      <c r="O10" s="604">
        <v>239.89</v>
      </c>
      <c r="P10" s="604">
        <f t="shared" si="0"/>
        <v>790.43600000000004</v>
      </c>
    </row>
    <row r="11" spans="1:18" ht="13.5" customHeight="1" x14ac:dyDescent="0.25">
      <c r="A11" s="604" t="s">
        <v>176</v>
      </c>
      <c r="B11" s="604">
        <v>26.753</v>
      </c>
      <c r="C11" s="604">
        <v>0</v>
      </c>
      <c r="D11" s="604">
        <v>31.139999999999997</v>
      </c>
      <c r="E11" s="604">
        <v>0</v>
      </c>
      <c r="F11" s="604">
        <v>0</v>
      </c>
      <c r="G11" s="604">
        <v>143.70000000000002</v>
      </c>
      <c r="H11" s="604">
        <v>0.5</v>
      </c>
      <c r="I11" s="604">
        <v>0.65999999999999992</v>
      </c>
      <c r="J11" s="604">
        <v>0</v>
      </c>
      <c r="K11" s="604">
        <v>51.190000000000005</v>
      </c>
      <c r="L11" s="604">
        <v>0.42</v>
      </c>
      <c r="M11" s="604">
        <v>105.97999999999999</v>
      </c>
      <c r="N11" s="604">
        <v>0</v>
      </c>
      <c r="O11" s="604">
        <v>0</v>
      </c>
      <c r="P11" s="604">
        <f t="shared" si="0"/>
        <v>360.34299999999996</v>
      </c>
    </row>
    <row r="12" spans="1:18" x14ac:dyDescent="0.25">
      <c r="A12" s="604" t="s">
        <v>136</v>
      </c>
      <c r="B12" s="604">
        <f>SUM(B4:B11)</f>
        <v>811.89300000000014</v>
      </c>
      <c r="C12" s="604">
        <f>SUM(C4:C11)</f>
        <v>23.115000000000002</v>
      </c>
      <c r="D12" s="604">
        <f t="shared" ref="D12:P12" si="1">SUM(D4:D11)</f>
        <v>443.38799999999998</v>
      </c>
      <c r="E12" s="604">
        <f t="shared" si="1"/>
        <v>95.300000000000011</v>
      </c>
      <c r="F12" s="604">
        <f>SUM(F4:F11)</f>
        <v>65.100999999999999</v>
      </c>
      <c r="G12" s="604">
        <f t="shared" si="1"/>
        <v>3385.5959999999995</v>
      </c>
      <c r="H12" s="604">
        <f t="shared" si="1"/>
        <v>25.755000000000003</v>
      </c>
      <c r="I12" s="604">
        <f t="shared" si="1"/>
        <v>33.846999999999994</v>
      </c>
      <c r="J12" s="604">
        <f t="shared" si="1"/>
        <v>9.0020000000000007</v>
      </c>
      <c r="K12" s="604">
        <f t="shared" si="1"/>
        <v>1315.3711000000001</v>
      </c>
      <c r="L12" s="604">
        <f t="shared" si="1"/>
        <v>5.1440000000000001</v>
      </c>
      <c r="M12" s="604">
        <f t="shared" si="1"/>
        <v>11369.215</v>
      </c>
      <c r="N12" s="604">
        <f t="shared" si="1"/>
        <v>224.52799999999999</v>
      </c>
      <c r="O12" s="604">
        <f t="shared" si="1"/>
        <v>37286.214999999997</v>
      </c>
      <c r="P12" s="604">
        <f t="shared" si="1"/>
        <v>55093.470099999999</v>
      </c>
    </row>
    <row r="13" spans="1:18" x14ac:dyDescent="0.25">
      <c r="A13" s="721"/>
      <c r="B13" s="722">
        <f>B12/$P$12</f>
        <v>1.4736646621211833E-2</v>
      </c>
      <c r="C13" s="722">
        <f t="shared" ref="C13:P13" si="2">C12/$P$12</f>
        <v>4.1955970386407012E-4</v>
      </c>
      <c r="D13" s="722">
        <f t="shared" si="2"/>
        <v>8.0479229062029988E-3</v>
      </c>
      <c r="E13" s="722">
        <f t="shared" si="2"/>
        <v>1.7297875742265146E-3</v>
      </c>
      <c r="F13" s="722">
        <f t="shared" si="2"/>
        <v>1.1816463889792268E-3</v>
      </c>
      <c r="G13" s="722">
        <f t="shared" si="2"/>
        <v>6.145185616108069E-2</v>
      </c>
      <c r="H13" s="722">
        <f t="shared" si="2"/>
        <v>4.6747826835471021E-4</v>
      </c>
      <c r="I13" s="722">
        <f t="shared" si="2"/>
        <v>6.1435592890708105E-4</v>
      </c>
      <c r="J13" s="722">
        <f t="shared" si="2"/>
        <v>1.6339504452452344E-4</v>
      </c>
      <c r="K13" s="722">
        <f t="shared" si="2"/>
        <v>2.3875263213815973E-2</v>
      </c>
      <c r="L13" s="722">
        <f t="shared" si="2"/>
        <v>9.3368596871156251E-5</v>
      </c>
      <c r="M13" s="722">
        <f t="shared" si="2"/>
        <v>0.20636229628236832</v>
      </c>
      <c r="N13" s="722">
        <f t="shared" si="2"/>
        <v>4.0754013060433454E-3</v>
      </c>
      <c r="O13" s="722">
        <f t="shared" si="2"/>
        <v>0.6767810220035495</v>
      </c>
      <c r="P13" s="722">
        <f t="shared" si="2"/>
        <v>1</v>
      </c>
    </row>
  </sheetData>
  <sheetProtection selectLockedCells="1" selectUnlockedCells="1"/>
  <phoneticPr fontId="33" type="noConversion"/>
  <hyperlinks>
    <hyperlink ref="E1" location="Índice!A1" display="ir a índice" xr:uid="{5F84E543-29D4-41EA-9084-E67DE920489B}"/>
  </hyperlinks>
  <pageMargins left="0.75" right="0.75" top="0.49027777777777776" bottom="1" header="0.51180555555555551" footer="0.51180555555555551"/>
  <pageSetup paperSize="9" scale="85" firstPageNumber="0" orientation="landscape" horizontalDpi="300"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tabColor rgb="FFBF8B2E"/>
  </sheetPr>
  <dimension ref="A1:E7"/>
  <sheetViews>
    <sheetView workbookViewId="0">
      <selection activeCell="M1" sqref="M1"/>
    </sheetView>
  </sheetViews>
  <sheetFormatPr baseColWidth="10" defaultColWidth="11.42578125" defaultRowHeight="14.25" x14ac:dyDescent="0.25"/>
  <cols>
    <col min="1" max="1" width="37.140625" customWidth="1"/>
    <col min="2" max="2" width="84.5703125" customWidth="1"/>
    <col min="5" max="5" width="12.85546875" customWidth="1"/>
    <col min="257" max="257" width="27.85546875" customWidth="1"/>
    <col min="258" max="258" width="84.5703125" customWidth="1"/>
    <col min="513" max="513" width="27.85546875" customWidth="1"/>
    <col min="514" max="514" width="84.5703125" customWidth="1"/>
    <col min="769" max="769" width="27.85546875" customWidth="1"/>
    <col min="770" max="770" width="84.5703125" customWidth="1"/>
    <col min="1025" max="1025" width="27.85546875" customWidth="1"/>
    <col min="1026" max="1026" width="84.5703125" customWidth="1"/>
    <col min="1281" max="1281" width="27.85546875" customWidth="1"/>
    <col min="1282" max="1282" width="84.5703125" customWidth="1"/>
    <col min="1537" max="1537" width="27.85546875" customWidth="1"/>
    <col min="1538" max="1538" width="84.5703125" customWidth="1"/>
    <col min="1793" max="1793" width="27.85546875" customWidth="1"/>
    <col min="1794" max="1794" width="84.5703125" customWidth="1"/>
    <col min="2049" max="2049" width="27.85546875" customWidth="1"/>
    <col min="2050" max="2050" width="84.5703125" customWidth="1"/>
    <col min="2305" max="2305" width="27.85546875" customWidth="1"/>
    <col min="2306" max="2306" width="84.5703125" customWidth="1"/>
    <col min="2561" max="2561" width="27.85546875" customWidth="1"/>
    <col min="2562" max="2562" width="84.5703125" customWidth="1"/>
    <col min="2817" max="2817" width="27.85546875" customWidth="1"/>
    <col min="2818" max="2818" width="84.5703125" customWidth="1"/>
    <col min="3073" max="3073" width="27.85546875" customWidth="1"/>
    <col min="3074" max="3074" width="84.5703125" customWidth="1"/>
    <col min="3329" max="3329" width="27.85546875" customWidth="1"/>
    <col min="3330" max="3330" width="84.5703125" customWidth="1"/>
    <col min="3585" max="3585" width="27.85546875" customWidth="1"/>
    <col min="3586" max="3586" width="84.5703125" customWidth="1"/>
    <col min="3841" max="3841" width="27.85546875" customWidth="1"/>
    <col min="3842" max="3842" width="84.5703125" customWidth="1"/>
    <col min="4097" max="4097" width="27.85546875" customWidth="1"/>
    <col min="4098" max="4098" width="84.5703125" customWidth="1"/>
    <col min="4353" max="4353" width="27.85546875" customWidth="1"/>
    <col min="4354" max="4354" width="84.5703125" customWidth="1"/>
    <col min="4609" max="4609" width="27.85546875" customWidth="1"/>
    <col min="4610" max="4610" width="84.5703125" customWidth="1"/>
    <col min="4865" max="4865" width="27.85546875" customWidth="1"/>
    <col min="4866" max="4866" width="84.5703125" customWidth="1"/>
    <col min="5121" max="5121" width="27.85546875" customWidth="1"/>
    <col min="5122" max="5122" width="84.5703125" customWidth="1"/>
    <col min="5377" max="5377" width="27.85546875" customWidth="1"/>
    <col min="5378" max="5378" width="84.5703125" customWidth="1"/>
    <col min="5633" max="5633" width="27.85546875" customWidth="1"/>
    <col min="5634" max="5634" width="84.5703125" customWidth="1"/>
    <col min="5889" max="5889" width="27.85546875" customWidth="1"/>
    <col min="5890" max="5890" width="84.5703125" customWidth="1"/>
    <col min="6145" max="6145" width="27.85546875" customWidth="1"/>
    <col min="6146" max="6146" width="84.5703125" customWidth="1"/>
    <col min="6401" max="6401" width="27.85546875" customWidth="1"/>
    <col min="6402" max="6402" width="84.5703125" customWidth="1"/>
    <col min="6657" max="6657" width="27.85546875" customWidth="1"/>
    <col min="6658" max="6658" width="84.5703125" customWidth="1"/>
    <col min="6913" max="6913" width="27.85546875" customWidth="1"/>
    <col min="6914" max="6914" width="84.5703125" customWidth="1"/>
    <col min="7169" max="7169" width="27.85546875" customWidth="1"/>
    <col min="7170" max="7170" width="84.5703125" customWidth="1"/>
    <col min="7425" max="7425" width="27.85546875" customWidth="1"/>
    <col min="7426" max="7426" width="84.5703125" customWidth="1"/>
    <col min="7681" max="7681" width="27.85546875" customWidth="1"/>
    <col min="7682" max="7682" width="84.5703125" customWidth="1"/>
    <col min="7937" max="7937" width="27.85546875" customWidth="1"/>
    <col min="7938" max="7938" width="84.5703125" customWidth="1"/>
    <col min="8193" max="8193" width="27.85546875" customWidth="1"/>
    <col min="8194" max="8194" width="84.5703125" customWidth="1"/>
    <col min="8449" max="8449" width="27.85546875" customWidth="1"/>
    <col min="8450" max="8450" width="84.5703125" customWidth="1"/>
    <col min="8705" max="8705" width="27.85546875" customWidth="1"/>
    <col min="8706" max="8706" width="84.5703125" customWidth="1"/>
    <col min="8961" max="8961" width="27.85546875" customWidth="1"/>
    <col min="8962" max="8962" width="84.5703125" customWidth="1"/>
    <col min="9217" max="9217" width="27.85546875" customWidth="1"/>
    <col min="9218" max="9218" width="84.5703125" customWidth="1"/>
    <col min="9473" max="9473" width="27.85546875" customWidth="1"/>
    <col min="9474" max="9474" width="84.5703125" customWidth="1"/>
    <col min="9729" max="9729" width="27.85546875" customWidth="1"/>
    <col min="9730" max="9730" width="84.5703125" customWidth="1"/>
    <col min="9985" max="9985" width="27.85546875" customWidth="1"/>
    <col min="9986" max="9986" width="84.5703125" customWidth="1"/>
    <col min="10241" max="10241" width="27.85546875" customWidth="1"/>
    <col min="10242" max="10242" width="84.5703125" customWidth="1"/>
    <col min="10497" max="10497" width="27.85546875" customWidth="1"/>
    <col min="10498" max="10498" width="84.5703125" customWidth="1"/>
    <col min="10753" max="10753" width="27.85546875" customWidth="1"/>
    <col min="10754" max="10754" width="84.5703125" customWidth="1"/>
    <col min="11009" max="11009" width="27.85546875" customWidth="1"/>
    <col min="11010" max="11010" width="84.5703125" customWidth="1"/>
    <col min="11265" max="11265" width="27.85546875" customWidth="1"/>
    <col min="11266" max="11266" width="84.5703125" customWidth="1"/>
    <col min="11521" max="11521" width="27.85546875" customWidth="1"/>
    <col min="11522" max="11522" width="84.5703125" customWidth="1"/>
    <col min="11777" max="11777" width="27.85546875" customWidth="1"/>
    <col min="11778" max="11778" width="84.5703125" customWidth="1"/>
    <col min="12033" max="12033" width="27.85546875" customWidth="1"/>
    <col min="12034" max="12034" width="84.5703125" customWidth="1"/>
    <col min="12289" max="12289" width="27.85546875" customWidth="1"/>
    <col min="12290" max="12290" width="84.5703125" customWidth="1"/>
    <col min="12545" max="12545" width="27.85546875" customWidth="1"/>
    <col min="12546" max="12546" width="84.5703125" customWidth="1"/>
    <col min="12801" max="12801" width="27.85546875" customWidth="1"/>
    <col min="12802" max="12802" width="84.5703125" customWidth="1"/>
    <col min="13057" max="13057" width="27.85546875" customWidth="1"/>
    <col min="13058" max="13058" width="84.5703125" customWidth="1"/>
    <col min="13313" max="13313" width="27.85546875" customWidth="1"/>
    <col min="13314" max="13314" width="84.5703125" customWidth="1"/>
    <col min="13569" max="13569" width="27.85546875" customWidth="1"/>
    <col min="13570" max="13570" width="84.5703125" customWidth="1"/>
    <col min="13825" max="13825" width="27.85546875" customWidth="1"/>
    <col min="13826" max="13826" width="84.5703125" customWidth="1"/>
    <col min="14081" max="14081" width="27.85546875" customWidth="1"/>
    <col min="14082" max="14082" width="84.5703125" customWidth="1"/>
    <col min="14337" max="14337" width="27.85546875" customWidth="1"/>
    <col min="14338" max="14338" width="84.5703125" customWidth="1"/>
    <col min="14593" max="14593" width="27.85546875" customWidth="1"/>
    <col min="14594" max="14594" width="84.5703125" customWidth="1"/>
    <col min="14849" max="14849" width="27.85546875" customWidth="1"/>
    <col min="14850" max="14850" width="84.5703125" customWidth="1"/>
    <col min="15105" max="15105" width="27.85546875" customWidth="1"/>
    <col min="15106" max="15106" width="84.5703125" customWidth="1"/>
    <col min="15361" max="15361" width="27.85546875" customWidth="1"/>
    <col min="15362" max="15362" width="84.5703125" customWidth="1"/>
    <col min="15617" max="15617" width="27.85546875" customWidth="1"/>
    <col min="15618" max="15618" width="84.5703125" customWidth="1"/>
    <col min="15873" max="15873" width="27.85546875" customWidth="1"/>
    <col min="15874" max="15874" width="84.5703125" customWidth="1"/>
    <col min="16129" max="16129" width="27.85546875" customWidth="1"/>
    <col min="16130" max="16130" width="84.5703125" customWidth="1"/>
  </cols>
  <sheetData>
    <row r="1" spans="1:5" x14ac:dyDescent="0.25">
      <c r="A1" s="555" t="s">
        <v>1077</v>
      </c>
      <c r="E1" s="942" t="s">
        <v>1230</v>
      </c>
    </row>
    <row r="2" spans="1:5" x14ac:dyDescent="0.25">
      <c r="A2" s="555" t="s">
        <v>91</v>
      </c>
    </row>
    <row r="3" spans="1:5" x14ac:dyDescent="0.25">
      <c r="A3" t="s">
        <v>177</v>
      </c>
      <c r="B3" t="s">
        <v>178</v>
      </c>
    </row>
    <row r="4" spans="1:5" x14ac:dyDescent="0.25">
      <c r="A4" t="s">
        <v>179</v>
      </c>
      <c r="B4" t="s">
        <v>180</v>
      </c>
    </row>
    <row r="5" spans="1:5" x14ac:dyDescent="0.25">
      <c r="A5" t="s">
        <v>181</v>
      </c>
      <c r="B5" t="s">
        <v>182</v>
      </c>
    </row>
    <row r="6" spans="1:5" x14ac:dyDescent="0.25">
      <c r="A6" t="s">
        <v>183</v>
      </c>
      <c r="B6" t="s">
        <v>182</v>
      </c>
    </row>
    <row r="7" spans="1:5" x14ac:dyDescent="0.25">
      <c r="A7" t="s">
        <v>184</v>
      </c>
      <c r="B7" t="s">
        <v>185</v>
      </c>
    </row>
  </sheetData>
  <hyperlinks>
    <hyperlink ref="E1" location="Índice!A1" display="ir a índice" xr:uid="{56A7E4E2-F2CD-40DB-B841-5E3A5BB73F08}"/>
  </hyperlinks>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tabColor rgb="FFBF8B2E"/>
  </sheetPr>
  <dimension ref="A1:P13"/>
  <sheetViews>
    <sheetView zoomScaleNormal="100" workbookViewId="0">
      <selection activeCell="M1" sqref="M1"/>
    </sheetView>
  </sheetViews>
  <sheetFormatPr baseColWidth="10" defaultColWidth="9.140625" defaultRowHeight="14.25" x14ac:dyDescent="0.25"/>
  <cols>
    <col min="1" max="1" width="54" style="2" customWidth="1"/>
    <col min="2" max="2" width="13.42578125" style="2" customWidth="1"/>
    <col min="3" max="3" width="17.140625" style="2" customWidth="1"/>
    <col min="4" max="4" width="9.140625" style="6"/>
    <col min="5" max="5" width="12.85546875" style="6" customWidth="1"/>
    <col min="6" max="16384" width="9.140625" style="6"/>
  </cols>
  <sheetData>
    <row r="1" spans="1:16" x14ac:dyDescent="0.25">
      <c r="A1" s="555" t="s">
        <v>1078</v>
      </c>
      <c r="B1" s="9"/>
      <c r="C1" s="6"/>
      <c r="E1" s="942" t="s">
        <v>1230</v>
      </c>
    </row>
    <row r="2" spans="1:16" x14ac:dyDescent="0.25">
      <c r="A2" s="555" t="s">
        <v>1079</v>
      </c>
      <c r="B2" s="7"/>
    </row>
    <row r="3" spans="1:16" ht="17.25" customHeight="1" x14ac:dyDescent="0.25">
      <c r="A3" s="729" t="s">
        <v>1008</v>
      </c>
      <c r="B3" s="730" t="s">
        <v>1009</v>
      </c>
      <c r="C3" s="32"/>
      <c r="F3" s="223"/>
    </row>
    <row r="4" spans="1:16" ht="17.25" customHeight="1" x14ac:dyDescent="0.25">
      <c r="A4" s="723" t="s">
        <v>186</v>
      </c>
      <c r="B4" s="724">
        <v>20597.630009999997</v>
      </c>
      <c r="C4" s="21"/>
    </row>
    <row r="5" spans="1:16" ht="17.25" customHeight="1" x14ac:dyDescent="0.25">
      <c r="A5" s="723" t="s">
        <v>187</v>
      </c>
      <c r="B5" s="724">
        <v>7614</v>
      </c>
      <c r="C5" s="219"/>
      <c r="D5" s="94"/>
      <c r="E5" s="95"/>
      <c r="F5" s="94"/>
      <c r="G5" s="95"/>
      <c r="H5" s="95"/>
      <c r="I5" s="95"/>
      <c r="J5" s="95"/>
      <c r="K5" s="95"/>
      <c r="L5" s="95"/>
    </row>
    <row r="6" spans="1:16" ht="17.25" customHeight="1" x14ac:dyDescent="0.25">
      <c r="A6" s="723" t="s">
        <v>188</v>
      </c>
      <c r="B6" s="725">
        <v>731</v>
      </c>
      <c r="C6" s="219"/>
      <c r="D6" s="94"/>
      <c r="E6" s="95"/>
      <c r="F6" s="94"/>
      <c r="G6" s="95"/>
      <c r="H6" s="95"/>
      <c r="I6" s="95"/>
      <c r="J6" s="95"/>
      <c r="K6" s="95"/>
      <c r="L6" s="95"/>
      <c r="M6" s="95"/>
      <c r="N6" s="95"/>
      <c r="O6" s="95"/>
      <c r="P6" s="95"/>
    </row>
    <row r="7" spans="1:16" ht="17.25" customHeight="1" x14ac:dyDescent="0.25">
      <c r="A7" s="723" t="s">
        <v>189</v>
      </c>
      <c r="B7" s="725">
        <v>1326315</v>
      </c>
      <c r="C7" s="219"/>
    </row>
    <row r="8" spans="1:16" ht="17.25" customHeight="1" x14ac:dyDescent="0.25">
      <c r="A8" s="723" t="s">
        <v>190</v>
      </c>
      <c r="B8" s="726">
        <f>B7/1326315</f>
        <v>1</v>
      </c>
      <c r="C8" s="219"/>
    </row>
    <row r="9" spans="1:16" ht="17.25" customHeight="1" x14ac:dyDescent="0.25">
      <c r="A9" s="723" t="s">
        <v>191</v>
      </c>
      <c r="B9" s="727">
        <v>15.529968378552605</v>
      </c>
      <c r="C9" s="219"/>
    </row>
    <row r="10" spans="1:16" ht="17.25" customHeight="1" x14ac:dyDescent="0.25">
      <c r="A10" s="723" t="s">
        <v>192</v>
      </c>
      <c r="B10" s="728">
        <f>B7/B5</f>
        <v>174.1942474389283</v>
      </c>
      <c r="C10" s="219"/>
      <c r="D10" s="94"/>
      <c r="E10" s="95"/>
      <c r="F10" s="95"/>
      <c r="G10" s="95"/>
      <c r="H10" s="95"/>
      <c r="I10" s="95"/>
      <c r="J10" s="95"/>
      <c r="K10" s="95"/>
    </row>
    <row r="11" spans="1:16" ht="15" x14ac:dyDescent="0.25">
      <c r="A11" s="731" t="s">
        <v>193</v>
      </c>
      <c r="B11" s="732">
        <f>(318*0.91)+(7296*2.85)</f>
        <v>21082.980000000003</v>
      </c>
      <c r="C11" s="35"/>
    </row>
    <row r="12" spans="1:16" ht="51.75" x14ac:dyDescent="0.25">
      <c r="A12" s="9" t="s">
        <v>194</v>
      </c>
      <c r="B12" s="350"/>
      <c r="C12" s="37"/>
    </row>
    <row r="13" spans="1:16" x14ac:dyDescent="0.25">
      <c r="A13" s="6"/>
      <c r="B13" s="36"/>
      <c r="C13" s="18"/>
    </row>
  </sheetData>
  <sheetProtection selectLockedCells="1" selectUnlockedCells="1"/>
  <phoneticPr fontId="33" type="noConversion"/>
  <hyperlinks>
    <hyperlink ref="E1" location="Índice!A1" display="ir a índice" xr:uid="{EF994EE5-739D-4F5E-927B-39D550B2B6FA}"/>
  </hyperlinks>
  <pageMargins left="0.75" right="0.75" top="1" bottom="1" header="0.51180555555555551" footer="0.51180555555555551"/>
  <pageSetup paperSize="9" firstPageNumber="0" orientation="portrait" horizontalDpi="300" verticalDpi="300" r:id="rId1"/>
  <headerFooter alignWithMargins="0"/>
  <legacy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8">
    <tabColor rgb="FFBF8B2E"/>
  </sheetPr>
  <dimension ref="A1:F12"/>
  <sheetViews>
    <sheetView workbookViewId="0">
      <selection activeCell="M1" sqref="M1"/>
    </sheetView>
  </sheetViews>
  <sheetFormatPr baseColWidth="10" defaultColWidth="15" defaultRowHeight="14.25" x14ac:dyDescent="0.25"/>
  <cols>
    <col min="2" max="2" width="24.7109375" customWidth="1"/>
    <col min="3" max="3" width="21" customWidth="1"/>
    <col min="4" max="4" width="21.140625" customWidth="1"/>
    <col min="5" max="5" width="12.85546875" customWidth="1"/>
    <col min="6" max="6" width="31.28515625" customWidth="1"/>
  </cols>
  <sheetData>
    <row r="1" spans="1:6" x14ac:dyDescent="0.25">
      <c r="A1" s="555" t="s">
        <v>1080</v>
      </c>
      <c r="E1" s="942" t="s">
        <v>1230</v>
      </c>
    </row>
    <row r="2" spans="1:6" x14ac:dyDescent="0.25">
      <c r="A2" s="555" t="s">
        <v>199</v>
      </c>
    </row>
    <row r="3" spans="1:6" ht="28.5" x14ac:dyDescent="0.25">
      <c r="A3" t="s">
        <v>92</v>
      </c>
      <c r="B3" t="s">
        <v>187</v>
      </c>
      <c r="C3" t="s">
        <v>195</v>
      </c>
      <c r="D3" t="s">
        <v>196</v>
      </c>
      <c r="E3" t="s">
        <v>197</v>
      </c>
      <c r="F3" t="s">
        <v>198</v>
      </c>
    </row>
    <row r="4" spans="1:6" ht="14.25" customHeight="1" x14ac:dyDescent="0.25">
      <c r="A4" t="s">
        <v>95</v>
      </c>
      <c r="B4">
        <v>1273</v>
      </c>
      <c r="C4">
        <v>68</v>
      </c>
      <c r="D4">
        <v>2569.79</v>
      </c>
      <c r="E4">
        <v>105104</v>
      </c>
      <c r="F4">
        <f>D4*1000/E4</f>
        <v>24.449973359719895</v>
      </c>
    </row>
    <row r="5" spans="1:6" x14ac:dyDescent="0.25">
      <c r="A5" t="s">
        <v>99</v>
      </c>
      <c r="B5">
        <v>879</v>
      </c>
      <c r="C5">
        <v>105</v>
      </c>
      <c r="D5">
        <v>2101.3000000000002</v>
      </c>
      <c r="E5">
        <v>87629</v>
      </c>
      <c r="F5">
        <f t="shared" ref="F5:F12" si="0">D5*1000/E5</f>
        <v>23.97950450193429</v>
      </c>
    </row>
    <row r="6" spans="1:6" x14ac:dyDescent="0.25">
      <c r="A6" t="s">
        <v>105</v>
      </c>
      <c r="B6">
        <v>254</v>
      </c>
      <c r="C6">
        <v>42</v>
      </c>
      <c r="D6">
        <v>640.22</v>
      </c>
      <c r="E6">
        <v>39698</v>
      </c>
      <c r="F6">
        <f t="shared" si="0"/>
        <v>16.127260819184844</v>
      </c>
    </row>
    <row r="7" spans="1:6" x14ac:dyDescent="0.25">
      <c r="A7" t="s">
        <v>108</v>
      </c>
      <c r="B7">
        <v>767</v>
      </c>
      <c r="C7">
        <v>82</v>
      </c>
      <c r="D7">
        <v>1336.4000100000003</v>
      </c>
      <c r="E7">
        <v>86045</v>
      </c>
      <c r="F7">
        <f t="shared" si="0"/>
        <v>15.531408100412577</v>
      </c>
    </row>
    <row r="8" spans="1:6" x14ac:dyDescent="0.25">
      <c r="A8" t="s">
        <v>113</v>
      </c>
      <c r="B8">
        <v>673</v>
      </c>
      <c r="C8">
        <v>146</v>
      </c>
      <c r="D8">
        <v>1209.2</v>
      </c>
      <c r="E8">
        <v>87053</v>
      </c>
      <c r="F8">
        <f t="shared" si="0"/>
        <v>13.890388613832952</v>
      </c>
    </row>
    <row r="9" spans="1:6" x14ac:dyDescent="0.25">
      <c r="A9" t="s">
        <v>119</v>
      </c>
      <c r="B9">
        <v>2483</v>
      </c>
      <c r="C9">
        <v>46</v>
      </c>
      <c r="D9">
        <v>10273.48</v>
      </c>
      <c r="E9">
        <v>771015</v>
      </c>
      <c r="F9">
        <f t="shared" si="0"/>
        <v>13.324617549593718</v>
      </c>
    </row>
    <row r="10" spans="1:6" x14ac:dyDescent="0.25">
      <c r="A10" t="s">
        <v>123</v>
      </c>
      <c r="B10">
        <v>478</v>
      </c>
      <c r="C10">
        <v>62</v>
      </c>
      <c r="D10">
        <v>1047.98</v>
      </c>
      <c r="E10">
        <v>68180</v>
      </c>
      <c r="F10">
        <f t="shared" si="0"/>
        <v>15.37078322088589</v>
      </c>
    </row>
    <row r="11" spans="1:6" x14ac:dyDescent="0.25">
      <c r="A11" t="s">
        <v>129</v>
      </c>
      <c r="B11">
        <v>807</v>
      </c>
      <c r="C11">
        <v>180</v>
      </c>
      <c r="D11">
        <v>1419.26</v>
      </c>
      <c r="E11">
        <v>81591</v>
      </c>
      <c r="F11">
        <f t="shared" si="0"/>
        <v>17.394810702160779</v>
      </c>
    </row>
    <row r="12" spans="1:6" x14ac:dyDescent="0.25">
      <c r="A12" t="s">
        <v>136</v>
      </c>
      <c r="B12">
        <f>SUM(B4:B11)</f>
        <v>7614</v>
      </c>
      <c r="C12">
        <v>731</v>
      </c>
      <c r="D12">
        <f>SUM(D4:D11)</f>
        <v>20597.630009999997</v>
      </c>
      <c r="E12">
        <f>SUM(E4:E11)</f>
        <v>1326315</v>
      </c>
      <c r="F12">
        <f t="shared" si="0"/>
        <v>15.529968378552605</v>
      </c>
    </row>
  </sheetData>
  <sheetProtection selectLockedCells="1" selectUnlockedCells="1"/>
  <phoneticPr fontId="33" type="noConversion"/>
  <hyperlinks>
    <hyperlink ref="E1" location="Índice!A1" display="ir a índice" xr:uid="{064BA740-01A4-40FC-A3B2-1F1C1C2FFCC7}"/>
  </hyperlinks>
  <pageMargins left="0.75" right="0.75" top="0.49027777777777776" bottom="1" header="0.51180555555555551" footer="0.51180555555555551"/>
  <pageSetup paperSize="9" scale="88" firstPageNumber="0" orientation="landscape" horizontalDpi="300" verticalDpi="300"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9">
    <tabColor rgb="FFBF8B2E"/>
    <pageSetUpPr fitToPage="1"/>
  </sheetPr>
  <dimension ref="A1:V6"/>
  <sheetViews>
    <sheetView workbookViewId="0">
      <selection activeCell="M1" sqref="M1"/>
    </sheetView>
  </sheetViews>
  <sheetFormatPr baseColWidth="10" defaultColWidth="9.140625" defaultRowHeight="14.25" x14ac:dyDescent="0.25"/>
  <cols>
    <col min="1" max="1" width="27" customWidth="1"/>
    <col min="2" max="4" width="15.28515625" bestFit="1" customWidth="1"/>
    <col min="5" max="5" width="12.85546875" customWidth="1"/>
    <col min="6" max="22" width="15.28515625" bestFit="1" customWidth="1"/>
  </cols>
  <sheetData>
    <row r="1" spans="1:22" x14ac:dyDescent="0.25">
      <c r="A1" s="555" t="s">
        <v>1089</v>
      </c>
      <c r="E1" s="942" t="s">
        <v>1230</v>
      </c>
    </row>
    <row r="2" spans="1:22" x14ac:dyDescent="0.25">
      <c r="A2" s="555" t="s">
        <v>199</v>
      </c>
    </row>
    <row r="3" spans="1:22" x14ac:dyDescent="0.25">
      <c r="A3" t="s">
        <v>1008</v>
      </c>
      <c r="B3" t="s">
        <v>1081</v>
      </c>
      <c r="C3" t="s">
        <v>1082</v>
      </c>
      <c r="D3" t="s">
        <v>1083</v>
      </c>
      <c r="E3" t="s">
        <v>1084</v>
      </c>
      <c r="F3" t="s">
        <v>1085</v>
      </c>
      <c r="G3" t="s">
        <v>1086</v>
      </c>
      <c r="H3" t="s">
        <v>1087</v>
      </c>
      <c r="I3" t="s">
        <v>1088</v>
      </c>
      <c r="J3" t="s">
        <v>1060</v>
      </c>
      <c r="K3" t="s">
        <v>1061</v>
      </c>
      <c r="L3" t="s">
        <v>1043</v>
      </c>
      <c r="M3" t="s">
        <v>1044</v>
      </c>
      <c r="N3" t="s">
        <v>1045</v>
      </c>
      <c r="O3" t="s">
        <v>1046</v>
      </c>
      <c r="P3" t="s">
        <v>1047</v>
      </c>
      <c r="Q3" t="s">
        <v>1048</v>
      </c>
      <c r="R3" t="s">
        <v>1049</v>
      </c>
      <c r="S3" t="s">
        <v>1050</v>
      </c>
      <c r="T3" t="s">
        <v>1051</v>
      </c>
      <c r="U3" t="s">
        <v>1052</v>
      </c>
      <c r="V3" t="s">
        <v>1053</v>
      </c>
    </row>
    <row r="4" spans="1:22" ht="36" customHeight="1" x14ac:dyDescent="0.25">
      <c r="A4" t="s">
        <v>200</v>
      </c>
      <c r="B4" s="557">
        <v>9.9984630393848217</v>
      </c>
      <c r="C4" s="557">
        <v>11.486389198238646</v>
      </c>
      <c r="D4" s="557">
        <v>12.171463754226425</v>
      </c>
      <c r="E4" s="557">
        <v>13.046215722754519</v>
      </c>
      <c r="F4" s="557">
        <v>14.215713513145465</v>
      </c>
      <c r="G4" s="557">
        <v>16.241666120393472</v>
      </c>
      <c r="H4" s="557">
        <v>16.908008675952569</v>
      </c>
      <c r="I4" s="557">
        <v>16.825659911776402</v>
      </c>
      <c r="J4" s="557">
        <v>17.196910927486375</v>
      </c>
      <c r="K4" s="557">
        <v>17.256087958973872</v>
      </c>
      <c r="L4" s="557">
        <v>17.649999999999999</v>
      </c>
      <c r="M4" s="557">
        <v>15.19</v>
      </c>
      <c r="N4" s="557">
        <v>12.576087702818427</v>
      </c>
      <c r="O4" s="557">
        <v>13.412822581073524</v>
      </c>
      <c r="P4" s="557">
        <v>13.585757812195515</v>
      </c>
      <c r="Q4" s="557">
        <v>13.9</v>
      </c>
      <c r="R4" s="557">
        <v>14.471631232769528</v>
      </c>
      <c r="S4" s="557">
        <v>15.575847936505287</v>
      </c>
      <c r="T4" s="557">
        <v>15.143753041806361</v>
      </c>
      <c r="U4" s="557">
        <v>15.449851122818206</v>
      </c>
      <c r="V4" s="557">
        <v>15.529968378552605</v>
      </c>
    </row>
    <row r="5" spans="1:22" ht="28.5" customHeight="1" x14ac:dyDescent="0.25">
      <c r="A5" t="s">
        <v>201</v>
      </c>
      <c r="B5" s="558">
        <v>1216687</v>
      </c>
      <c r="C5" s="558">
        <v>1229281</v>
      </c>
      <c r="D5" s="558">
        <v>1248987</v>
      </c>
      <c r="E5" s="558">
        <v>1269027</v>
      </c>
      <c r="F5" s="558">
        <v>1277741</v>
      </c>
      <c r="G5" s="558">
        <v>1296665</v>
      </c>
      <c r="H5" s="558">
        <v>1326886</v>
      </c>
      <c r="I5" s="558">
        <v>1345445</v>
      </c>
      <c r="J5" s="558">
        <v>1347071</v>
      </c>
      <c r="K5" s="558">
        <v>1346264</v>
      </c>
      <c r="L5" s="558">
        <v>1349467</v>
      </c>
      <c r="M5" s="558">
        <v>1347150</v>
      </c>
      <c r="N5" s="558">
        <v>1325385</v>
      </c>
      <c r="O5" s="558">
        <v>1317847</v>
      </c>
      <c r="P5" s="558">
        <v>1308563</v>
      </c>
      <c r="Q5" s="558">
        <v>1308750</v>
      </c>
      <c r="R5" s="558">
        <v>1308728</v>
      </c>
      <c r="S5" s="558">
        <v>1319291</v>
      </c>
      <c r="T5" s="558">
        <v>1329391</v>
      </c>
      <c r="U5" s="558">
        <v>1326261</v>
      </c>
      <c r="V5" s="558">
        <v>1326315</v>
      </c>
    </row>
    <row r="6" spans="1:22" ht="21.75" customHeight="1" x14ac:dyDescent="0.25">
      <c r="A6" t="s">
        <v>202</v>
      </c>
      <c r="B6" s="558">
        <v>12165</v>
      </c>
      <c r="C6" s="558">
        <v>14120</v>
      </c>
      <c r="D6" s="558">
        <v>15202</v>
      </c>
      <c r="E6" s="558">
        <v>16556</v>
      </c>
      <c r="F6" s="558">
        <v>18164</v>
      </c>
      <c r="G6" s="558">
        <v>21060</v>
      </c>
      <c r="H6" s="558">
        <v>22435</v>
      </c>
      <c r="I6" s="558">
        <v>22638</v>
      </c>
      <c r="J6" s="558">
        <v>23165.46</v>
      </c>
      <c r="K6" s="558">
        <v>23231</v>
      </c>
      <c r="L6" s="558">
        <v>23822</v>
      </c>
      <c r="M6" s="558">
        <v>20470</v>
      </c>
      <c r="N6" s="558">
        <v>16668.157999999999</v>
      </c>
      <c r="O6" s="558">
        <v>17676.047999999999</v>
      </c>
      <c r="P6" s="558">
        <v>17777.82</v>
      </c>
      <c r="Q6" s="558">
        <v>18197</v>
      </c>
      <c r="R6" s="558">
        <v>18939.429</v>
      </c>
      <c r="S6" s="558">
        <v>20549.075999999997</v>
      </c>
      <c r="T6" s="558">
        <v>20131.969000000001</v>
      </c>
      <c r="U6" s="558">
        <v>20490.534999999996</v>
      </c>
      <c r="V6" s="558">
        <v>20597.630009999997</v>
      </c>
    </row>
  </sheetData>
  <sheetProtection selectLockedCells="1" selectUnlockedCells="1"/>
  <phoneticPr fontId="33" type="noConversion"/>
  <hyperlinks>
    <hyperlink ref="E1" location="Índice!A1" display="ir a índice" xr:uid="{57670CB4-3414-420F-B538-3CC02A600051}"/>
  </hyperlinks>
  <pageMargins left="0.75" right="0.75" top="0.42986111111111114" bottom="0.39027777777777778" header="0.51180555555555551" footer="0.51180555555555551"/>
  <pageSetup paperSize="9" scale="90" firstPageNumber="0" orientation="landscape" horizontalDpi="300" verticalDpi="300" r:id="rId1"/>
  <headerFooter alignWithMargins="0"/>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0">
    <tabColor rgb="FFBF8B2E"/>
  </sheetPr>
  <dimension ref="A1:E11"/>
  <sheetViews>
    <sheetView workbookViewId="0">
      <selection activeCell="M1" sqref="M1"/>
    </sheetView>
  </sheetViews>
  <sheetFormatPr baseColWidth="10" defaultColWidth="9.140625" defaultRowHeight="14.25" x14ac:dyDescent="0.25"/>
  <cols>
    <col min="1" max="1" width="54" customWidth="1"/>
    <col min="2" max="2" width="12.28515625" customWidth="1"/>
    <col min="3" max="3" width="4.7109375" customWidth="1"/>
    <col min="4" max="4" width="9.140625" customWidth="1"/>
    <col min="5" max="5" width="12.85546875" customWidth="1"/>
    <col min="6" max="6" width="9.140625" customWidth="1"/>
    <col min="7" max="7" width="21.7109375" customWidth="1"/>
  </cols>
  <sheetData>
    <row r="1" spans="1:5" x14ac:dyDescent="0.25">
      <c r="A1" s="555" t="s">
        <v>1092</v>
      </c>
      <c r="E1" s="942" t="s">
        <v>1230</v>
      </c>
    </row>
    <row r="2" spans="1:5" x14ac:dyDescent="0.25">
      <c r="A2" s="555" t="s">
        <v>206</v>
      </c>
    </row>
    <row r="3" spans="1:5" x14ac:dyDescent="0.25">
      <c r="A3" t="s">
        <v>1008</v>
      </c>
      <c r="B3" t="s">
        <v>1009</v>
      </c>
    </row>
    <row r="4" spans="1:5" x14ac:dyDescent="0.25">
      <c r="A4" t="s">
        <v>203</v>
      </c>
      <c r="B4">
        <v>26374.992748000004</v>
      </c>
    </row>
    <row r="5" spans="1:5" x14ac:dyDescent="0.25">
      <c r="A5" t="s">
        <v>187</v>
      </c>
      <c r="B5">
        <v>9855</v>
      </c>
    </row>
    <row r="6" spans="1:5" x14ac:dyDescent="0.25">
      <c r="A6" t="s">
        <v>188</v>
      </c>
      <c r="B6">
        <v>731</v>
      </c>
    </row>
    <row r="7" spans="1:5" ht="15.75" x14ac:dyDescent="0.25">
      <c r="A7" t="s">
        <v>1090</v>
      </c>
      <c r="B7">
        <v>1326315</v>
      </c>
    </row>
    <row r="8" spans="1:5" ht="28.5" x14ac:dyDescent="0.25">
      <c r="A8" t="s">
        <v>190</v>
      </c>
      <c r="B8" s="703">
        <f>B7/1326315</f>
        <v>1</v>
      </c>
    </row>
    <row r="9" spans="1:5" x14ac:dyDescent="0.25">
      <c r="A9" t="s">
        <v>204</v>
      </c>
      <c r="B9">
        <v>19.885919067491511</v>
      </c>
    </row>
    <row r="10" spans="1:5" x14ac:dyDescent="0.25">
      <c r="A10" t="s">
        <v>205</v>
      </c>
      <c r="B10" s="733">
        <f>B7/B5</f>
        <v>134.58295281582951</v>
      </c>
    </row>
    <row r="11" spans="1:5" ht="15.75" x14ac:dyDescent="0.25">
      <c r="A11" t="s">
        <v>1091</v>
      </c>
      <c r="B11">
        <f>20986560/1000</f>
        <v>20986.560000000001</v>
      </c>
    </row>
  </sheetData>
  <sheetProtection selectLockedCells="1" selectUnlockedCells="1"/>
  <phoneticPr fontId="33" type="noConversion"/>
  <hyperlinks>
    <hyperlink ref="E1" location="Índice!A1" display="ir a índice" xr:uid="{914500DB-55AC-4D07-AAF9-6744E1430678}"/>
  </hyperlinks>
  <pageMargins left="0.75" right="0.75" top="0.75972222222222219" bottom="1" header="0.51180555555555551" footer="0.51180555555555551"/>
  <pageSetup paperSize="9" firstPageNumber="0" orientation="portrait" horizontalDpi="300" verticalDpi="300"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1">
    <tabColor rgb="FFBF8B2E"/>
    <pageSetUpPr fitToPage="1"/>
  </sheetPr>
  <dimension ref="A1:I14"/>
  <sheetViews>
    <sheetView workbookViewId="0">
      <selection activeCell="M1" sqref="M1"/>
    </sheetView>
  </sheetViews>
  <sheetFormatPr baseColWidth="10" defaultColWidth="9.140625" defaultRowHeight="14.25" x14ac:dyDescent="0.25"/>
  <cols>
    <col min="1" max="4" width="23.85546875" customWidth="1"/>
    <col min="5" max="5" width="12.85546875" customWidth="1"/>
    <col min="6" max="9" width="23.85546875" customWidth="1"/>
  </cols>
  <sheetData>
    <row r="1" spans="1:9" x14ac:dyDescent="0.25">
      <c r="A1" s="555" t="s">
        <v>1093</v>
      </c>
      <c r="E1" s="942" t="s">
        <v>1230</v>
      </c>
    </row>
    <row r="2" spans="1:9" x14ac:dyDescent="0.25">
      <c r="A2" s="555" t="s">
        <v>206</v>
      </c>
    </row>
    <row r="3" spans="1:9" ht="42.75" x14ac:dyDescent="0.25">
      <c r="A3" s="553" t="s">
        <v>92</v>
      </c>
      <c r="B3" s="553" t="s">
        <v>207</v>
      </c>
      <c r="C3" s="553" t="s">
        <v>208</v>
      </c>
      <c r="D3" s="553" t="s">
        <v>209</v>
      </c>
      <c r="E3" s="553" t="s">
        <v>210</v>
      </c>
      <c r="F3" s="553" t="s">
        <v>211</v>
      </c>
      <c r="G3" s="553" t="s">
        <v>212</v>
      </c>
      <c r="H3" s="553" t="s">
        <v>213</v>
      </c>
      <c r="I3" s="553" t="s">
        <v>214</v>
      </c>
    </row>
    <row r="4" spans="1:9" x14ac:dyDescent="0.25">
      <c r="A4" t="s">
        <v>95</v>
      </c>
      <c r="B4">
        <v>1292</v>
      </c>
      <c r="C4">
        <v>68</v>
      </c>
      <c r="D4">
        <v>3384.2710000000006</v>
      </c>
      <c r="E4">
        <v>105104</v>
      </c>
      <c r="F4">
        <f>D4*1000/E4</f>
        <v>32.199259780788559</v>
      </c>
      <c r="G4">
        <v>192.821</v>
      </c>
      <c r="H4">
        <v>167.07</v>
      </c>
      <c r="I4">
        <f>D4+G4+H4</f>
        <v>3744.1620000000007</v>
      </c>
    </row>
    <row r="5" spans="1:9" x14ac:dyDescent="0.25">
      <c r="A5" t="s">
        <v>99</v>
      </c>
      <c r="B5">
        <v>1208</v>
      </c>
      <c r="C5">
        <v>105</v>
      </c>
      <c r="D5">
        <v>2035.9</v>
      </c>
      <c r="E5">
        <v>87629</v>
      </c>
      <c r="F5">
        <f>D5*1000/E5</f>
        <v>23.233176231612823</v>
      </c>
      <c r="G5">
        <v>34.292000000000002</v>
      </c>
      <c r="H5">
        <v>48.055</v>
      </c>
      <c r="I5">
        <f>D5+G5+H5</f>
        <v>2118.2469999999998</v>
      </c>
    </row>
    <row r="6" spans="1:9" x14ac:dyDescent="0.25">
      <c r="A6" t="s">
        <v>105</v>
      </c>
      <c r="B6">
        <v>685</v>
      </c>
      <c r="C6">
        <v>42</v>
      </c>
      <c r="D6">
        <v>899.1400000000001</v>
      </c>
      <c r="E6">
        <v>39698</v>
      </c>
      <c r="F6">
        <f t="shared" ref="F6:F12" si="0">D6*1000/E6</f>
        <v>22.649503753337701</v>
      </c>
      <c r="G6">
        <v>0</v>
      </c>
      <c r="H6">
        <v>0</v>
      </c>
      <c r="I6">
        <f t="shared" ref="I6:I11" si="1">D6+G6+H6</f>
        <v>899.1400000000001</v>
      </c>
    </row>
    <row r="7" spans="1:9" x14ac:dyDescent="0.25">
      <c r="A7" t="s">
        <v>108</v>
      </c>
      <c r="B7">
        <v>1091</v>
      </c>
      <c r="C7">
        <v>82</v>
      </c>
      <c r="D7">
        <v>1716.1108940000001</v>
      </c>
      <c r="E7">
        <v>86045</v>
      </c>
      <c r="F7">
        <f t="shared" si="0"/>
        <v>19.944341844383754</v>
      </c>
      <c r="G7">
        <v>0</v>
      </c>
      <c r="H7">
        <v>0</v>
      </c>
      <c r="I7">
        <f t="shared" si="1"/>
        <v>1716.1108940000001</v>
      </c>
    </row>
    <row r="8" spans="1:9" x14ac:dyDescent="0.25">
      <c r="A8" t="s">
        <v>113</v>
      </c>
      <c r="B8">
        <v>692</v>
      </c>
      <c r="C8">
        <v>146</v>
      </c>
      <c r="D8">
        <v>1147.643836</v>
      </c>
      <c r="E8">
        <v>87053</v>
      </c>
      <c r="F8">
        <f t="shared" si="0"/>
        <v>13.183277267871295</v>
      </c>
      <c r="G8">
        <v>39.74</v>
      </c>
      <c r="H8">
        <v>0</v>
      </c>
      <c r="I8">
        <f t="shared" si="1"/>
        <v>1187.383836</v>
      </c>
    </row>
    <row r="9" spans="1:9" x14ac:dyDescent="0.25">
      <c r="A9" t="s">
        <v>119</v>
      </c>
      <c r="B9">
        <v>2771</v>
      </c>
      <c r="C9">
        <v>46</v>
      </c>
      <c r="D9">
        <v>15015.194058000001</v>
      </c>
      <c r="E9">
        <v>771015</v>
      </c>
      <c r="F9">
        <f t="shared" si="0"/>
        <v>19.474580984805744</v>
      </c>
      <c r="G9">
        <v>821.62199999999996</v>
      </c>
      <c r="H9">
        <v>231.66</v>
      </c>
      <c r="I9">
        <f t="shared" si="1"/>
        <v>16068.476058</v>
      </c>
    </row>
    <row r="10" spans="1:9" x14ac:dyDescent="0.25">
      <c r="A10" t="s">
        <v>123</v>
      </c>
      <c r="B10">
        <v>778</v>
      </c>
      <c r="C10">
        <v>62</v>
      </c>
      <c r="D10">
        <v>1274.9429599999999</v>
      </c>
      <c r="E10">
        <v>68180</v>
      </c>
      <c r="F10">
        <f t="shared" si="0"/>
        <v>18.699662070988559</v>
      </c>
      <c r="G10">
        <v>32.058</v>
      </c>
      <c r="H10">
        <v>102.68</v>
      </c>
      <c r="I10">
        <f t="shared" si="1"/>
        <v>1409.6809599999999</v>
      </c>
    </row>
    <row r="11" spans="1:9" x14ac:dyDescent="0.25">
      <c r="A11" t="s">
        <v>129</v>
      </c>
      <c r="B11">
        <v>1338</v>
      </c>
      <c r="C11">
        <v>180</v>
      </c>
      <c r="D11">
        <v>901.79000000000008</v>
      </c>
      <c r="E11">
        <v>81591</v>
      </c>
      <c r="F11">
        <f t="shared" si="0"/>
        <v>11.052567072348667</v>
      </c>
      <c r="G11">
        <v>62.07</v>
      </c>
      <c r="H11">
        <v>0</v>
      </c>
      <c r="I11">
        <f t="shared" si="1"/>
        <v>963.86000000000013</v>
      </c>
    </row>
    <row r="12" spans="1:9" x14ac:dyDescent="0.25">
      <c r="A12" t="s">
        <v>136</v>
      </c>
      <c r="B12">
        <f>SUM(B4:B11)</f>
        <v>9855</v>
      </c>
      <c r="C12">
        <f t="shared" ref="C12:E12" si="2">SUM(C4:C11)</f>
        <v>731</v>
      </c>
      <c r="D12">
        <f t="shared" si="2"/>
        <v>26374.992748000004</v>
      </c>
      <c r="E12">
        <f t="shared" si="2"/>
        <v>1326315</v>
      </c>
      <c r="F12">
        <f t="shared" si="0"/>
        <v>19.885919067491511</v>
      </c>
      <c r="G12">
        <f>SUM(G4:G11)</f>
        <v>1182.6029999999998</v>
      </c>
      <c r="H12">
        <f>SUM(H4:H11)</f>
        <v>549.46499999999992</v>
      </c>
      <c r="I12">
        <f>SUM(I4:I11)</f>
        <v>28107.060748000004</v>
      </c>
    </row>
    <row r="13" spans="1:9" x14ac:dyDescent="0.25">
      <c r="A13" s="948"/>
      <c r="B13" s="948"/>
      <c r="C13" s="948"/>
      <c r="D13" s="948"/>
      <c r="E13" s="948"/>
      <c r="F13" s="948"/>
      <c r="G13" s="948"/>
      <c r="H13" s="948"/>
      <c r="I13" s="948"/>
    </row>
    <row r="14" spans="1:9" x14ac:dyDescent="0.25">
      <c r="A14" s="948"/>
      <c r="B14" s="948"/>
      <c r="C14" s="948"/>
      <c r="D14" s="948"/>
      <c r="E14" s="948"/>
      <c r="F14" s="948"/>
      <c r="G14" s="948"/>
      <c r="H14" s="948"/>
      <c r="I14" s="948"/>
    </row>
  </sheetData>
  <sheetProtection selectLockedCells="1" selectUnlockedCells="1"/>
  <mergeCells count="1">
    <mergeCell ref="A13:I14"/>
  </mergeCells>
  <phoneticPr fontId="33" type="noConversion"/>
  <hyperlinks>
    <hyperlink ref="E1" location="Índice!A1" display="ir a índice" xr:uid="{0A126F42-818A-4DC4-99C7-5679EE7F601A}"/>
  </hyperlinks>
  <pageMargins left="0.75" right="0.75" top="0.5" bottom="1" header="0.51180555555555551" footer="0.51180555555555551"/>
  <pageSetup paperSize="9" firstPageNumber="0" orientation="landscape" horizontalDpi="300" verticalDpi="300"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2">
    <tabColor rgb="FFBF8B2E"/>
    <pageSetUpPr fitToPage="1"/>
  </sheetPr>
  <dimension ref="A1:W36"/>
  <sheetViews>
    <sheetView workbookViewId="0">
      <selection activeCell="M1" sqref="M1"/>
    </sheetView>
  </sheetViews>
  <sheetFormatPr baseColWidth="10" defaultColWidth="9.140625" defaultRowHeight="14.25" x14ac:dyDescent="0.25"/>
  <cols>
    <col min="1" max="1" width="21.42578125" customWidth="1"/>
    <col min="2" max="2" width="9.7109375" hidden="1" customWidth="1"/>
    <col min="3" max="3" width="9.28515625" hidden="1" customWidth="1"/>
    <col min="4" max="4" width="9.5703125" hidden="1" customWidth="1"/>
    <col min="5" max="5" width="12.85546875" customWidth="1"/>
    <col min="6" max="6" width="9" hidden="1" customWidth="1"/>
    <col min="7" max="7" width="9.140625" hidden="1" customWidth="1"/>
    <col min="8" max="8" width="9.42578125" hidden="1" customWidth="1"/>
    <col min="9" max="9" width="9.28515625" hidden="1" customWidth="1"/>
    <col min="10" max="11" width="9.140625" hidden="1" customWidth="1"/>
    <col min="12" max="12" width="8.85546875" hidden="1" customWidth="1"/>
    <col min="13" max="13" width="9.140625" hidden="1" customWidth="1"/>
    <col min="14" max="14" width="8.7109375" hidden="1" customWidth="1"/>
  </cols>
  <sheetData>
    <row r="1" spans="1:23" ht="14.25" customHeight="1" x14ac:dyDescent="0.25">
      <c r="A1" s="555" t="s">
        <v>1116</v>
      </c>
      <c r="E1" s="942" t="s">
        <v>1230</v>
      </c>
    </row>
    <row r="2" spans="1:23" x14ac:dyDescent="0.25">
      <c r="A2" s="555" t="s">
        <v>206</v>
      </c>
    </row>
    <row r="3" spans="1:23" x14ac:dyDescent="0.25">
      <c r="A3" t="s">
        <v>1008</v>
      </c>
      <c r="B3" t="s">
        <v>1094</v>
      </c>
      <c r="C3" t="s">
        <v>1095</v>
      </c>
      <c r="D3" t="s">
        <v>1096</v>
      </c>
      <c r="E3" t="s">
        <v>1097</v>
      </c>
      <c r="F3" t="s">
        <v>1098</v>
      </c>
      <c r="G3" t="s">
        <v>1099</v>
      </c>
      <c r="H3" t="s">
        <v>1100</v>
      </c>
      <c r="I3" t="s">
        <v>1101</v>
      </c>
      <c r="J3" t="s">
        <v>1102</v>
      </c>
      <c r="K3" t="s">
        <v>1103</v>
      </c>
      <c r="L3" t="s">
        <v>1104</v>
      </c>
      <c r="M3" t="s">
        <v>1105</v>
      </c>
      <c r="N3" t="s">
        <v>1106</v>
      </c>
      <c r="O3" t="s">
        <v>1107</v>
      </c>
      <c r="P3" t="s">
        <v>1108</v>
      </c>
      <c r="Q3" t="s">
        <v>1109</v>
      </c>
      <c r="R3" t="s">
        <v>1110</v>
      </c>
      <c r="S3" t="s">
        <v>1111</v>
      </c>
      <c r="T3" t="s">
        <v>1112</v>
      </c>
      <c r="U3" t="s">
        <v>1113</v>
      </c>
      <c r="V3" t="s">
        <v>1114</v>
      </c>
      <c r="W3" t="s">
        <v>1115</v>
      </c>
    </row>
    <row r="4" spans="1:23" ht="42.75" x14ac:dyDescent="0.25">
      <c r="A4" t="s">
        <v>215</v>
      </c>
      <c r="B4">
        <v>13604</v>
      </c>
      <c r="C4">
        <v>15263</v>
      </c>
      <c r="D4">
        <v>16708</v>
      </c>
      <c r="E4">
        <v>18169</v>
      </c>
      <c r="F4">
        <v>20643</v>
      </c>
      <c r="G4">
        <v>24751.691999999999</v>
      </c>
      <c r="H4">
        <v>28679.49</v>
      </c>
      <c r="I4">
        <v>31434.24626</v>
      </c>
      <c r="J4">
        <v>31088.945</v>
      </c>
      <c r="K4">
        <v>30914.552879734802</v>
      </c>
      <c r="L4">
        <v>28492.462093999999</v>
      </c>
      <c r="M4">
        <v>25515.545846000001</v>
      </c>
      <c r="N4">
        <v>24147</v>
      </c>
      <c r="O4">
        <v>22514.116999999998</v>
      </c>
      <c r="P4">
        <v>22444.845150000001</v>
      </c>
      <c r="Q4">
        <v>22741</v>
      </c>
      <c r="R4">
        <v>22656</v>
      </c>
      <c r="S4">
        <v>25825.708255000001</v>
      </c>
      <c r="T4">
        <v>26469.843002000001</v>
      </c>
      <c r="U4">
        <v>27126.023474000001</v>
      </c>
      <c r="V4">
        <v>27524.228754000003</v>
      </c>
      <c r="W4">
        <v>26374.992748000004</v>
      </c>
    </row>
    <row r="5" spans="1:23" ht="51.75" customHeight="1" x14ac:dyDescent="0.25">
      <c r="A5" t="s">
        <v>216</v>
      </c>
      <c r="B5">
        <v>13.479957431713373</v>
      </c>
      <c r="C5">
        <v>13.340139021326918</v>
      </c>
      <c r="D5">
        <v>14.435205728464691</v>
      </c>
      <c r="E5">
        <v>15.439287629280347</v>
      </c>
      <c r="F5">
        <v>17.594655547733058</v>
      </c>
      <c r="G5">
        <v>20.592089850249582</v>
      </c>
      <c r="H5">
        <v>23.450574663770997</v>
      </c>
      <c r="I5">
        <v>24.106848978684081</v>
      </c>
      <c r="J5">
        <v>23.546576314627472</v>
      </c>
      <c r="K5">
        <v>23.230173948716896</v>
      </c>
      <c r="L5">
        <v>21.420681233075062</v>
      </c>
      <c r="M5">
        <v>19.138357913764846</v>
      </c>
      <c r="N5">
        <v>18.100000000000001</v>
      </c>
      <c r="O5">
        <v>17.076356264003312</v>
      </c>
      <c r="P5">
        <v>17.079077282121368</v>
      </c>
      <c r="Q5">
        <v>17.399999999999999</v>
      </c>
      <c r="R5">
        <v>17.327777675801684</v>
      </c>
      <c r="S5">
        <v>19.744651700898714</v>
      </c>
      <c r="T5">
        <v>20.100000000000001</v>
      </c>
      <c r="U5">
        <v>20.415676445751672</v>
      </c>
      <c r="V5">
        <v>20.762707664199716</v>
      </c>
      <c r="W5">
        <v>19.885919067491511</v>
      </c>
    </row>
    <row r="6" spans="1:23" ht="28.5" x14ac:dyDescent="0.25">
      <c r="A6" t="s">
        <v>217</v>
      </c>
      <c r="B6">
        <v>1009202</v>
      </c>
      <c r="C6">
        <v>1144141</v>
      </c>
      <c r="D6">
        <v>1157448</v>
      </c>
      <c r="E6">
        <v>1176803</v>
      </c>
      <c r="F6">
        <v>1173254</v>
      </c>
      <c r="G6">
        <v>1202000</v>
      </c>
      <c r="H6">
        <v>1222976</v>
      </c>
      <c r="I6">
        <v>1303955</v>
      </c>
      <c r="J6">
        <v>1320317</v>
      </c>
      <c r="K6">
        <v>1330793</v>
      </c>
      <c r="L6">
        <v>1330138</v>
      </c>
      <c r="M6">
        <v>1333215</v>
      </c>
      <c r="N6">
        <v>1331394</v>
      </c>
      <c r="O6">
        <v>1318438</v>
      </c>
      <c r="P6">
        <v>1314172</v>
      </c>
      <c r="Q6">
        <v>1307101</v>
      </c>
      <c r="R6">
        <v>1307496</v>
      </c>
      <c r="S6">
        <v>1307985</v>
      </c>
      <c r="T6">
        <v>1318592</v>
      </c>
      <c r="U6">
        <v>1328686</v>
      </c>
      <c r="V6">
        <v>1325657</v>
      </c>
      <c r="W6">
        <v>1326315</v>
      </c>
    </row>
    <row r="33" spans="2:2" ht="85.5" x14ac:dyDescent="0.25">
      <c r="B33" t="s">
        <v>218</v>
      </c>
    </row>
    <row r="36" spans="2:2" ht="213.75" x14ac:dyDescent="0.25">
      <c r="B36" t="s">
        <v>219</v>
      </c>
    </row>
  </sheetData>
  <sheetProtection selectLockedCells="1" selectUnlockedCells="1"/>
  <phoneticPr fontId="33" type="noConversion"/>
  <hyperlinks>
    <hyperlink ref="E1" location="Índice!A1" display="ir a índice" xr:uid="{2CAE63BE-FD84-4864-A719-60DD1069C472}"/>
  </hyperlinks>
  <pageMargins left="0.39370078740157483" right="0.15748031496062992" top="0.55118110236220474" bottom="0.98425196850393704" header="0.51181102362204722" footer="0.51181102362204722"/>
  <pageSetup paperSize="9" scale="77" firstPageNumber="0" orientation="landscape" horizontalDpi="300" verticalDpi="300" r:id="rId1"/>
  <headerFooter alignWithMargins="0"/>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3">
    <tabColor rgb="FFBF8B2E"/>
  </sheetPr>
  <dimension ref="A1:E11"/>
  <sheetViews>
    <sheetView zoomScaleNormal="100" workbookViewId="0">
      <selection activeCell="M1" sqref="M1"/>
    </sheetView>
  </sheetViews>
  <sheetFormatPr baseColWidth="10" defaultColWidth="9.140625" defaultRowHeight="14.25" x14ac:dyDescent="0.25"/>
  <cols>
    <col min="1" max="1" width="51.42578125" customWidth="1"/>
    <col min="2" max="2" width="12.42578125" customWidth="1"/>
    <col min="3" max="3" width="13.85546875" customWidth="1"/>
    <col min="4" max="4" width="19" customWidth="1"/>
    <col min="5" max="5" width="12.85546875" customWidth="1"/>
    <col min="6" max="6" width="8.28515625" customWidth="1"/>
    <col min="7" max="7" width="9.7109375" customWidth="1"/>
    <col min="8" max="8" width="4" customWidth="1"/>
    <col min="9" max="9" width="3.7109375" customWidth="1"/>
    <col min="10" max="10" width="4.140625" customWidth="1"/>
    <col min="11" max="11" width="3.7109375" customWidth="1"/>
  </cols>
  <sheetData>
    <row r="1" spans="1:5" x14ac:dyDescent="0.25">
      <c r="A1" s="555" t="s">
        <v>1118</v>
      </c>
      <c r="E1" s="942" t="s">
        <v>1230</v>
      </c>
    </row>
    <row r="2" spans="1:5" x14ac:dyDescent="0.25">
      <c r="A2" s="555" t="s">
        <v>206</v>
      </c>
    </row>
    <row r="3" spans="1:5" x14ac:dyDescent="0.25">
      <c r="A3" t="s">
        <v>1008</v>
      </c>
      <c r="B3" t="s">
        <v>1009</v>
      </c>
    </row>
    <row r="4" spans="1:5" x14ac:dyDescent="0.25">
      <c r="A4" t="s">
        <v>220</v>
      </c>
      <c r="B4">
        <v>24482.137999000006</v>
      </c>
    </row>
    <row r="5" spans="1:5" x14ac:dyDescent="0.25">
      <c r="A5" t="s">
        <v>187</v>
      </c>
      <c r="B5">
        <v>12425</v>
      </c>
    </row>
    <row r="6" spans="1:5" x14ac:dyDescent="0.25">
      <c r="A6" t="s">
        <v>188</v>
      </c>
      <c r="B6">
        <v>730</v>
      </c>
    </row>
    <row r="7" spans="1:5" x14ac:dyDescent="0.25">
      <c r="A7" t="s">
        <v>201</v>
      </c>
      <c r="B7">
        <v>1326209</v>
      </c>
    </row>
    <row r="8" spans="1:5" x14ac:dyDescent="0.25">
      <c r="A8" t="s">
        <v>221</v>
      </c>
      <c r="B8" s="736">
        <f>B7/1326315</f>
        <v>0.99992007931750748</v>
      </c>
    </row>
    <row r="9" spans="1:5" x14ac:dyDescent="0.25">
      <c r="A9" t="s">
        <v>191</v>
      </c>
      <c r="B9">
        <v>18.460241182950806</v>
      </c>
    </row>
    <row r="10" spans="1:5" x14ac:dyDescent="0.25">
      <c r="A10" t="s">
        <v>205</v>
      </c>
      <c r="B10">
        <f>B7/B5</f>
        <v>106.73714285714286</v>
      </c>
    </row>
    <row r="11" spans="1:5" ht="15.75" x14ac:dyDescent="0.25">
      <c r="A11" t="s">
        <v>1117</v>
      </c>
      <c r="B11">
        <f>20814350/1000</f>
        <v>20814.349999999999</v>
      </c>
    </row>
  </sheetData>
  <sheetProtection selectLockedCells="1" selectUnlockedCells="1"/>
  <phoneticPr fontId="33" type="noConversion"/>
  <hyperlinks>
    <hyperlink ref="E1" location="Índice!A1" display="ir a índice" xr:uid="{8A88EFC3-9988-4185-A76B-0C1D91E9F5DB}"/>
  </hyperlinks>
  <pageMargins left="0.35433070866141736" right="0.35433070866141736" top="0.47244094488188981" bottom="0.98425196850393704" header="0.51181102362204722" footer="0.51181102362204722"/>
  <pageSetup paperSize="9" firstPageNumber="0" orientation="portrait" horizontalDpi="300" verticalDpi="300"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BF8B2E"/>
  </sheetPr>
  <dimension ref="A1:M15"/>
  <sheetViews>
    <sheetView workbookViewId="0">
      <selection activeCell="M1" sqref="M1"/>
    </sheetView>
  </sheetViews>
  <sheetFormatPr baseColWidth="10" defaultColWidth="11.42578125" defaultRowHeight="14.25" x14ac:dyDescent="0.25"/>
  <cols>
    <col min="1" max="1" width="71.7109375" style="97" customWidth="1"/>
    <col min="2" max="3" width="23.42578125" style="97" customWidth="1"/>
    <col min="4" max="4" width="29.5703125" style="97" customWidth="1"/>
    <col min="5" max="5" width="12.85546875" style="97" customWidth="1"/>
    <col min="6" max="6" width="34.5703125" style="97" customWidth="1"/>
    <col min="7" max="7" width="11.42578125" style="97" customWidth="1"/>
    <col min="8" max="8" width="35.7109375" style="97" customWidth="1"/>
    <col min="9" max="9" width="11.42578125" style="97" customWidth="1"/>
    <col min="10" max="12" width="10.7109375" style="97" customWidth="1"/>
    <col min="13" max="14" width="11.42578125" style="97"/>
    <col min="15" max="15" width="18.85546875" style="97" customWidth="1"/>
    <col min="16" max="243" width="11.42578125" style="97"/>
    <col min="244" max="244" width="71" style="97" customWidth="1"/>
    <col min="245" max="245" width="24" style="97" customWidth="1"/>
    <col min="246" max="499" width="11.42578125" style="97"/>
    <col min="500" max="500" width="71" style="97" customWidth="1"/>
    <col min="501" max="501" width="24" style="97" customWidth="1"/>
    <col min="502" max="755" width="11.42578125" style="97"/>
    <col min="756" max="756" width="71" style="97" customWidth="1"/>
    <col min="757" max="757" width="24" style="97" customWidth="1"/>
    <col min="758" max="1011" width="11.42578125" style="97"/>
    <col min="1012" max="1012" width="71" style="97" customWidth="1"/>
    <col min="1013" max="1013" width="24" style="97" customWidth="1"/>
    <col min="1014" max="1267" width="11.42578125" style="97"/>
    <col min="1268" max="1268" width="71" style="97" customWidth="1"/>
    <col min="1269" max="1269" width="24" style="97" customWidth="1"/>
    <col min="1270" max="1523" width="11.42578125" style="97"/>
    <col min="1524" max="1524" width="71" style="97" customWidth="1"/>
    <col min="1525" max="1525" width="24" style="97" customWidth="1"/>
    <col min="1526" max="1779" width="11.42578125" style="97"/>
    <col min="1780" max="1780" width="71" style="97" customWidth="1"/>
    <col min="1781" max="1781" width="24" style="97" customWidth="1"/>
    <col min="1782" max="2035" width="11.42578125" style="97"/>
    <col min="2036" max="2036" width="71" style="97" customWidth="1"/>
    <col min="2037" max="2037" width="24" style="97" customWidth="1"/>
    <col min="2038" max="2291" width="11.42578125" style="97"/>
    <col min="2292" max="2292" width="71" style="97" customWidth="1"/>
    <col min="2293" max="2293" width="24" style="97" customWidth="1"/>
    <col min="2294" max="2547" width="11.42578125" style="97"/>
    <col min="2548" max="2548" width="71" style="97" customWidth="1"/>
    <col min="2549" max="2549" width="24" style="97" customWidth="1"/>
    <col min="2550" max="2803" width="11.42578125" style="97"/>
    <col min="2804" max="2804" width="71" style="97" customWidth="1"/>
    <col min="2805" max="2805" width="24" style="97" customWidth="1"/>
    <col min="2806" max="3059" width="11.42578125" style="97"/>
    <col min="3060" max="3060" width="71" style="97" customWidth="1"/>
    <col min="3061" max="3061" width="24" style="97" customWidth="1"/>
    <col min="3062" max="3315" width="11.42578125" style="97"/>
    <col min="3316" max="3316" width="71" style="97" customWidth="1"/>
    <col min="3317" max="3317" width="24" style="97" customWidth="1"/>
    <col min="3318" max="3571" width="11.42578125" style="97"/>
    <col min="3572" max="3572" width="71" style="97" customWidth="1"/>
    <col min="3573" max="3573" width="24" style="97" customWidth="1"/>
    <col min="3574" max="3827" width="11.42578125" style="97"/>
    <col min="3828" max="3828" width="71" style="97" customWidth="1"/>
    <col min="3829" max="3829" width="24" style="97" customWidth="1"/>
    <col min="3830" max="4083" width="11.42578125" style="97"/>
    <col min="4084" max="4084" width="71" style="97" customWidth="1"/>
    <col min="4085" max="4085" width="24" style="97" customWidth="1"/>
    <col min="4086" max="4339" width="11.42578125" style="97"/>
    <col min="4340" max="4340" width="71" style="97" customWidth="1"/>
    <col min="4341" max="4341" width="24" style="97" customWidth="1"/>
    <col min="4342" max="4595" width="11.42578125" style="97"/>
    <col min="4596" max="4596" width="71" style="97" customWidth="1"/>
    <col min="4597" max="4597" width="24" style="97" customWidth="1"/>
    <col min="4598" max="4851" width="11.42578125" style="97"/>
    <col min="4852" max="4852" width="71" style="97" customWidth="1"/>
    <col min="4853" max="4853" width="24" style="97" customWidth="1"/>
    <col min="4854" max="5107" width="11.42578125" style="97"/>
    <col min="5108" max="5108" width="71" style="97" customWidth="1"/>
    <col min="5109" max="5109" width="24" style="97" customWidth="1"/>
    <col min="5110" max="5363" width="11.42578125" style="97"/>
    <col min="5364" max="5364" width="71" style="97" customWidth="1"/>
    <col min="5365" max="5365" width="24" style="97" customWidth="1"/>
    <col min="5366" max="5619" width="11.42578125" style="97"/>
    <col min="5620" max="5620" width="71" style="97" customWidth="1"/>
    <col min="5621" max="5621" width="24" style="97" customWidth="1"/>
    <col min="5622" max="5875" width="11.42578125" style="97"/>
    <col min="5876" max="5876" width="71" style="97" customWidth="1"/>
    <col min="5877" max="5877" width="24" style="97" customWidth="1"/>
    <col min="5878" max="6131" width="11.42578125" style="97"/>
    <col min="6132" max="6132" width="71" style="97" customWidth="1"/>
    <col min="6133" max="6133" width="24" style="97" customWidth="1"/>
    <col min="6134" max="6387" width="11.42578125" style="97"/>
    <col min="6388" max="6388" width="71" style="97" customWidth="1"/>
    <col min="6389" max="6389" width="24" style="97" customWidth="1"/>
    <col min="6390" max="6643" width="11.42578125" style="97"/>
    <col min="6644" max="6644" width="71" style="97" customWidth="1"/>
    <col min="6645" max="6645" width="24" style="97" customWidth="1"/>
    <col min="6646" max="6899" width="11.42578125" style="97"/>
    <col min="6900" max="6900" width="71" style="97" customWidth="1"/>
    <col min="6901" max="6901" width="24" style="97" customWidth="1"/>
    <col min="6902" max="7155" width="11.42578125" style="97"/>
    <col min="7156" max="7156" width="71" style="97" customWidth="1"/>
    <col min="7157" max="7157" width="24" style="97" customWidth="1"/>
    <col min="7158" max="7411" width="11.42578125" style="97"/>
    <col min="7412" max="7412" width="71" style="97" customWidth="1"/>
    <col min="7413" max="7413" width="24" style="97" customWidth="1"/>
    <col min="7414" max="7667" width="11.42578125" style="97"/>
    <col min="7668" max="7668" width="71" style="97" customWidth="1"/>
    <col min="7669" max="7669" width="24" style="97" customWidth="1"/>
    <col min="7670" max="7923" width="11.42578125" style="97"/>
    <col min="7924" max="7924" width="71" style="97" customWidth="1"/>
    <col min="7925" max="7925" width="24" style="97" customWidth="1"/>
    <col min="7926" max="8179" width="11.42578125" style="97"/>
    <col min="8180" max="8180" width="71" style="97" customWidth="1"/>
    <col min="8181" max="8181" width="24" style="97" customWidth="1"/>
    <col min="8182" max="8435" width="11.42578125" style="97"/>
    <col min="8436" max="8436" width="71" style="97" customWidth="1"/>
    <col min="8437" max="8437" width="24" style="97" customWidth="1"/>
    <col min="8438" max="8691" width="11.42578125" style="97"/>
    <col min="8692" max="8692" width="71" style="97" customWidth="1"/>
    <col min="8693" max="8693" width="24" style="97" customWidth="1"/>
    <col min="8694" max="8947" width="11.42578125" style="97"/>
    <col min="8948" max="8948" width="71" style="97" customWidth="1"/>
    <col min="8949" max="8949" width="24" style="97" customWidth="1"/>
    <col min="8950" max="9203" width="11.42578125" style="97"/>
    <col min="9204" max="9204" width="71" style="97" customWidth="1"/>
    <col min="9205" max="9205" width="24" style="97" customWidth="1"/>
    <col min="9206" max="9459" width="11.42578125" style="97"/>
    <col min="9460" max="9460" width="71" style="97" customWidth="1"/>
    <col min="9461" max="9461" width="24" style="97" customWidth="1"/>
    <col min="9462" max="9715" width="11.42578125" style="97"/>
    <col min="9716" max="9716" width="71" style="97" customWidth="1"/>
    <col min="9717" max="9717" width="24" style="97" customWidth="1"/>
    <col min="9718" max="9971" width="11.42578125" style="97"/>
    <col min="9972" max="9972" width="71" style="97" customWidth="1"/>
    <col min="9973" max="9973" width="24" style="97" customWidth="1"/>
    <col min="9974" max="10227" width="11.42578125" style="97"/>
    <col min="10228" max="10228" width="71" style="97" customWidth="1"/>
    <col min="10229" max="10229" width="24" style="97" customWidth="1"/>
    <col min="10230" max="10483" width="11.42578125" style="97"/>
    <col min="10484" max="10484" width="71" style="97" customWidth="1"/>
    <col min="10485" max="10485" width="24" style="97" customWidth="1"/>
    <col min="10486" max="10739" width="11.42578125" style="97"/>
    <col min="10740" max="10740" width="71" style="97" customWidth="1"/>
    <col min="10741" max="10741" width="24" style="97" customWidth="1"/>
    <col min="10742" max="10995" width="11.42578125" style="97"/>
    <col min="10996" max="10996" width="71" style="97" customWidth="1"/>
    <col min="10997" max="10997" width="24" style="97" customWidth="1"/>
    <col min="10998" max="11251" width="11.42578125" style="97"/>
    <col min="11252" max="11252" width="71" style="97" customWidth="1"/>
    <col min="11253" max="11253" width="24" style="97" customWidth="1"/>
    <col min="11254" max="11507" width="11.42578125" style="97"/>
    <col min="11508" max="11508" width="71" style="97" customWidth="1"/>
    <col min="11509" max="11509" width="24" style="97" customWidth="1"/>
    <col min="11510" max="11763" width="11.42578125" style="97"/>
    <col min="11764" max="11764" width="71" style="97" customWidth="1"/>
    <col min="11765" max="11765" width="24" style="97" customWidth="1"/>
    <col min="11766" max="12019" width="11.42578125" style="97"/>
    <col min="12020" max="12020" width="71" style="97" customWidth="1"/>
    <col min="12021" max="12021" width="24" style="97" customWidth="1"/>
    <col min="12022" max="12275" width="11.42578125" style="97"/>
    <col min="12276" max="12276" width="71" style="97" customWidth="1"/>
    <col min="12277" max="12277" width="24" style="97" customWidth="1"/>
    <col min="12278" max="12531" width="11.42578125" style="97"/>
    <col min="12532" max="12532" width="71" style="97" customWidth="1"/>
    <col min="12533" max="12533" width="24" style="97" customWidth="1"/>
    <col min="12534" max="12787" width="11.42578125" style="97"/>
    <col min="12788" max="12788" width="71" style="97" customWidth="1"/>
    <col min="12789" max="12789" width="24" style="97" customWidth="1"/>
    <col min="12790" max="13043" width="11.42578125" style="97"/>
    <col min="13044" max="13044" width="71" style="97" customWidth="1"/>
    <col min="13045" max="13045" width="24" style="97" customWidth="1"/>
    <col min="13046" max="13299" width="11.42578125" style="97"/>
    <col min="13300" max="13300" width="71" style="97" customWidth="1"/>
    <col min="13301" max="13301" width="24" style="97" customWidth="1"/>
    <col min="13302" max="13555" width="11.42578125" style="97"/>
    <col min="13556" max="13556" width="71" style="97" customWidth="1"/>
    <col min="13557" max="13557" width="24" style="97" customWidth="1"/>
    <col min="13558" max="13811" width="11.42578125" style="97"/>
    <col min="13812" max="13812" width="71" style="97" customWidth="1"/>
    <col min="13813" max="13813" width="24" style="97" customWidth="1"/>
    <col min="13814" max="14067" width="11.42578125" style="97"/>
    <col min="14068" max="14068" width="71" style="97" customWidth="1"/>
    <col min="14069" max="14069" width="24" style="97" customWidth="1"/>
    <col min="14070" max="14323" width="11.42578125" style="97"/>
    <col min="14324" max="14324" width="71" style="97" customWidth="1"/>
    <col min="14325" max="14325" width="24" style="97" customWidth="1"/>
    <col min="14326" max="14579" width="11.42578125" style="97"/>
    <col min="14580" max="14580" width="71" style="97" customWidth="1"/>
    <col min="14581" max="14581" width="24" style="97" customWidth="1"/>
    <col min="14582" max="14835" width="11.42578125" style="97"/>
    <col min="14836" max="14836" width="71" style="97" customWidth="1"/>
    <col min="14837" max="14837" width="24" style="97" customWidth="1"/>
    <col min="14838" max="15091" width="11.42578125" style="97"/>
    <col min="15092" max="15092" width="71" style="97" customWidth="1"/>
    <col min="15093" max="15093" width="24" style="97" customWidth="1"/>
    <col min="15094" max="15347" width="11.42578125" style="97"/>
    <col min="15348" max="15348" width="71" style="97" customWidth="1"/>
    <col min="15349" max="15349" width="24" style="97" customWidth="1"/>
    <col min="15350" max="15603" width="11.42578125" style="97"/>
    <col min="15604" max="15604" width="71" style="97" customWidth="1"/>
    <col min="15605" max="15605" width="24" style="97" customWidth="1"/>
    <col min="15606" max="15859" width="11.42578125" style="97"/>
    <col min="15860" max="15860" width="71" style="97" customWidth="1"/>
    <col min="15861" max="15861" width="24" style="97" customWidth="1"/>
    <col min="15862" max="16115" width="11.42578125" style="97"/>
    <col min="16116" max="16116" width="71" style="97" customWidth="1"/>
    <col min="16117" max="16117" width="24" style="97" customWidth="1"/>
    <col min="16118" max="16384" width="11.42578125" style="97"/>
  </cols>
  <sheetData>
    <row r="1" spans="1:13" ht="27.75" customHeight="1" x14ac:dyDescent="0.25">
      <c r="A1" s="555" t="s">
        <v>1006</v>
      </c>
      <c r="E1" s="942" t="s">
        <v>1230</v>
      </c>
    </row>
    <row r="2" spans="1:13" x14ac:dyDescent="0.25">
      <c r="A2" s="555" t="s">
        <v>1007</v>
      </c>
    </row>
    <row r="3" spans="1:13" x14ac:dyDescent="0.25">
      <c r="A3" s="602" t="s">
        <v>0</v>
      </c>
      <c r="B3" s="602">
        <v>2012</v>
      </c>
      <c r="C3" s="602">
        <v>2013</v>
      </c>
      <c r="D3" s="602">
        <v>2014</v>
      </c>
      <c r="E3" s="602">
        <v>2015</v>
      </c>
      <c r="F3" s="602">
        <v>2016</v>
      </c>
      <c r="G3" s="602">
        <v>2017</v>
      </c>
      <c r="H3" s="602">
        <v>2018</v>
      </c>
      <c r="I3" s="602">
        <v>2019</v>
      </c>
      <c r="J3" s="602">
        <v>2020</v>
      </c>
      <c r="K3" s="602">
        <v>2021</v>
      </c>
      <c r="L3" s="602">
        <v>2022</v>
      </c>
    </row>
    <row r="4" spans="1:13" ht="21.75" customHeight="1" x14ac:dyDescent="0.25">
      <c r="A4" s="206" t="s">
        <v>1</v>
      </c>
      <c r="B4" s="207">
        <v>4314515</v>
      </c>
      <c r="C4" s="207">
        <v>3877865</v>
      </c>
      <c r="D4" s="208">
        <v>4102018</v>
      </c>
      <c r="E4" s="208">
        <v>4335284</v>
      </c>
      <c r="F4" s="208">
        <v>3703266</v>
      </c>
      <c r="G4" s="207">
        <v>4416289</v>
      </c>
      <c r="H4" s="207">
        <v>3801798</v>
      </c>
      <c r="I4" s="237">
        <v>3303921.0615680004</v>
      </c>
      <c r="J4" s="237">
        <v>2793174</v>
      </c>
      <c r="K4" s="237">
        <v>2978287.1477229996</v>
      </c>
      <c r="L4" s="237">
        <v>3103808.9259169996</v>
      </c>
      <c r="M4" s="97">
        <f>SUM(B4:L4)</f>
        <v>40730226.135207996</v>
      </c>
    </row>
    <row r="5" spans="1:13" ht="27" customHeight="1" x14ac:dyDescent="0.25">
      <c r="A5" s="209" t="s">
        <v>2</v>
      </c>
      <c r="B5" s="210" t="s">
        <v>3</v>
      </c>
      <c r="C5" s="210" t="s">
        <v>4</v>
      </c>
      <c r="D5" s="211" t="s">
        <v>5</v>
      </c>
      <c r="E5" s="211" t="s">
        <v>6</v>
      </c>
      <c r="F5" s="211" t="s">
        <v>7</v>
      </c>
      <c r="G5" s="210" t="s">
        <v>8</v>
      </c>
      <c r="H5" s="210" t="s">
        <v>9</v>
      </c>
      <c r="I5" s="267" t="s">
        <v>22</v>
      </c>
      <c r="J5" s="267" t="s">
        <v>10</v>
      </c>
      <c r="K5" s="267" t="s">
        <v>11</v>
      </c>
      <c r="L5" s="268" t="s">
        <v>12</v>
      </c>
    </row>
    <row r="6" spans="1:13" ht="24" customHeight="1" x14ac:dyDescent="0.25">
      <c r="A6" s="206" t="s">
        <v>13</v>
      </c>
      <c r="B6" s="207">
        <v>2561944</v>
      </c>
      <c r="C6" s="207">
        <v>2523952</v>
      </c>
      <c r="D6" s="208">
        <v>2388559</v>
      </c>
      <c r="E6" s="208">
        <v>2571815</v>
      </c>
      <c r="F6" s="208">
        <v>2473724.9601409999</v>
      </c>
      <c r="G6" s="207">
        <v>2629336.9248730005</v>
      </c>
      <c r="H6" s="207">
        <v>2597063</v>
      </c>
      <c r="I6" s="237">
        <v>2687475.7345680003</v>
      </c>
      <c r="J6" s="237">
        <v>2641954</v>
      </c>
      <c r="K6" s="237">
        <v>2918997.8737229994</v>
      </c>
      <c r="L6" s="237">
        <v>2999901.2578169997</v>
      </c>
      <c r="M6" s="97">
        <f>SUM(B6:L6)</f>
        <v>28994723.751121998</v>
      </c>
    </row>
    <row r="7" spans="1:13" ht="26.25" customHeight="1" x14ac:dyDescent="0.25">
      <c r="A7" s="209" t="s">
        <v>14</v>
      </c>
      <c r="B7" s="210" t="s">
        <v>15</v>
      </c>
      <c r="C7" s="212" t="s">
        <v>16</v>
      </c>
      <c r="D7" s="213" t="s">
        <v>17</v>
      </c>
      <c r="E7" s="211" t="s">
        <v>18</v>
      </c>
      <c r="F7" s="213" t="s">
        <v>19</v>
      </c>
      <c r="G7" s="289" t="s">
        <v>20</v>
      </c>
      <c r="H7" s="289" t="s">
        <v>21</v>
      </c>
      <c r="I7" s="267" t="s">
        <v>32</v>
      </c>
      <c r="J7" s="268" t="s">
        <v>22</v>
      </c>
      <c r="K7" s="222" t="s">
        <v>23</v>
      </c>
      <c r="L7" s="222" t="s">
        <v>24</v>
      </c>
    </row>
    <row r="8" spans="1:13" ht="26.25" hidden="1" customHeight="1" x14ac:dyDescent="0.25">
      <c r="A8" s="277" t="s">
        <v>25</v>
      </c>
      <c r="B8" s="278">
        <v>2791705</v>
      </c>
      <c r="C8" s="278">
        <v>2791705</v>
      </c>
      <c r="D8" s="279">
        <v>2791705</v>
      </c>
      <c r="E8" s="279">
        <v>2791705</v>
      </c>
      <c r="F8" s="279">
        <v>2791705</v>
      </c>
      <c r="G8" s="278">
        <v>2791705</v>
      </c>
      <c r="H8" s="280">
        <v>2791705</v>
      </c>
      <c r="I8" s="201"/>
      <c r="J8" s="202"/>
    </row>
    <row r="9" spans="1:13" x14ac:dyDescent="0.25">
      <c r="A9" s="168"/>
      <c r="B9" s="169"/>
      <c r="C9" s="169"/>
      <c r="D9" s="169"/>
      <c r="E9" s="169"/>
      <c r="F9" s="169"/>
      <c r="G9" s="169"/>
      <c r="H9" s="169"/>
    </row>
    <row r="10" spans="1:13" x14ac:dyDescent="0.25">
      <c r="A10" s="107"/>
      <c r="B10" s="107"/>
      <c r="C10" s="107"/>
      <c r="D10" s="107"/>
      <c r="E10" s="107"/>
      <c r="F10" s="107"/>
      <c r="G10" s="107"/>
      <c r="H10" s="107"/>
      <c r="I10" s="107"/>
    </row>
    <row r="11" spans="1:13" ht="31.5" customHeight="1" x14ac:dyDescent="0.25">
      <c r="A11" t="s">
        <v>1010</v>
      </c>
      <c r="B11" t="s">
        <v>1011</v>
      </c>
      <c r="C11" t="s">
        <v>1012</v>
      </c>
      <c r="D11" t="s">
        <v>1013</v>
      </c>
      <c r="E11" s="106"/>
    </row>
    <row r="12" spans="1:13" ht="29.25" customHeight="1" x14ac:dyDescent="0.25">
      <c r="A12" t="s">
        <v>27</v>
      </c>
      <c r="B12" s="558">
        <v>3485030</v>
      </c>
      <c r="C12" s="558">
        <f>0.9*B12</f>
        <v>3136527</v>
      </c>
      <c r="D12" s="558">
        <f>0.87*B12</f>
        <v>3031976.1</v>
      </c>
      <c r="E12" s="106"/>
    </row>
    <row r="13" spans="1:13" ht="29.25" customHeight="1" x14ac:dyDescent="0.25">
      <c r="A13" t="s">
        <v>28</v>
      </c>
      <c r="B13" s="558">
        <v>2791705</v>
      </c>
      <c r="C13" s="558">
        <f>0.9*B13</f>
        <v>2512534.5</v>
      </c>
      <c r="D13" s="558">
        <f>0.87*B13</f>
        <v>2428783.35</v>
      </c>
      <c r="E13" s="106"/>
    </row>
    <row r="14" spans="1:13" ht="34.5" customHeight="1" x14ac:dyDescent="0.25">
      <c r="A14" t="s">
        <v>29</v>
      </c>
      <c r="B14" s="556">
        <f>(B12-B13)*100/B12</f>
        <v>19.894376805938542</v>
      </c>
      <c r="C14" s="556"/>
      <c r="D14" s="556"/>
      <c r="E14" s="106"/>
    </row>
    <row r="15" spans="1:13" x14ac:dyDescent="0.25">
      <c r="A15" s="291"/>
      <c r="B15" s="291"/>
      <c r="C15" s="291"/>
      <c r="D15" s="291"/>
      <c r="E15" s="291"/>
      <c r="F15" s="107"/>
      <c r="G15" s="107"/>
      <c r="H15" s="107"/>
      <c r="I15" s="107"/>
    </row>
  </sheetData>
  <hyperlinks>
    <hyperlink ref="E1" location="Índice!A1" display="ir a índice" xr:uid="{04F0068F-822C-40C1-87BA-7ED74B8F4479}"/>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4">
    <tabColor rgb="FFBF8B2E"/>
  </sheetPr>
  <dimension ref="A1:F12"/>
  <sheetViews>
    <sheetView workbookViewId="0">
      <selection activeCell="M1" sqref="M1"/>
    </sheetView>
  </sheetViews>
  <sheetFormatPr baseColWidth="10" defaultColWidth="9.140625" defaultRowHeight="14.25" x14ac:dyDescent="0.25"/>
  <cols>
    <col min="1" max="1" width="15.140625" customWidth="1"/>
    <col min="2" max="2" width="14.85546875" customWidth="1"/>
    <col min="3" max="3" width="21" customWidth="1"/>
    <col min="4" max="4" width="21.140625" customWidth="1"/>
    <col min="5" max="5" width="12.85546875" customWidth="1"/>
    <col min="6" max="6" width="29.28515625" customWidth="1"/>
    <col min="7" max="7" width="4" customWidth="1"/>
    <col min="8" max="8" width="7.85546875" customWidth="1"/>
    <col min="9" max="9" width="10.7109375" customWidth="1"/>
  </cols>
  <sheetData>
    <row r="1" spans="1:6" x14ac:dyDescent="0.25">
      <c r="A1" s="555" t="s">
        <v>1119</v>
      </c>
      <c r="E1" s="942" t="s">
        <v>1230</v>
      </c>
    </row>
    <row r="2" spans="1:6" x14ac:dyDescent="0.25">
      <c r="A2" s="555" t="s">
        <v>206</v>
      </c>
    </row>
    <row r="3" spans="1:6" ht="28.5" x14ac:dyDescent="0.25">
      <c r="A3" t="s">
        <v>92</v>
      </c>
      <c r="B3" t="s">
        <v>222</v>
      </c>
      <c r="C3" t="s">
        <v>195</v>
      </c>
      <c r="D3" t="s">
        <v>196</v>
      </c>
      <c r="E3" t="s">
        <v>210</v>
      </c>
      <c r="F3" t="s">
        <v>223</v>
      </c>
    </row>
    <row r="4" spans="1:6" x14ac:dyDescent="0.25">
      <c r="A4" t="s">
        <v>95</v>
      </c>
      <c r="B4">
        <v>1342</v>
      </c>
      <c r="C4">
        <v>68</v>
      </c>
      <c r="D4">
        <v>2921.5880000000002</v>
      </c>
      <c r="E4">
        <v>105104</v>
      </c>
      <c r="F4" s="733">
        <f>D4*1000/E4</f>
        <v>27.79711523824022</v>
      </c>
    </row>
    <row r="5" spans="1:6" x14ac:dyDescent="0.25">
      <c r="A5" t="s">
        <v>99</v>
      </c>
      <c r="B5">
        <v>1845</v>
      </c>
      <c r="C5">
        <v>104</v>
      </c>
      <c r="D5">
        <v>1973.434998</v>
      </c>
      <c r="E5">
        <v>87523</v>
      </c>
      <c r="F5" s="733">
        <f t="shared" ref="F5:F12" si="0">D5*1000/E5</f>
        <v>22.547616032357208</v>
      </c>
    </row>
    <row r="6" spans="1:6" x14ac:dyDescent="0.25">
      <c r="A6" t="s">
        <v>105</v>
      </c>
      <c r="B6">
        <v>819</v>
      </c>
      <c r="C6">
        <v>42</v>
      </c>
      <c r="D6">
        <v>804.24000099999989</v>
      </c>
      <c r="E6">
        <v>39698</v>
      </c>
      <c r="F6" s="733">
        <f t="shared" si="0"/>
        <v>20.258955136278903</v>
      </c>
    </row>
    <row r="7" spans="1:6" x14ac:dyDescent="0.25">
      <c r="A7" t="s">
        <v>108</v>
      </c>
      <c r="B7">
        <v>1303</v>
      </c>
      <c r="C7">
        <v>82</v>
      </c>
      <c r="D7">
        <v>1588.02</v>
      </c>
      <c r="E7">
        <v>86045</v>
      </c>
      <c r="F7" s="733">
        <f t="shared" si="0"/>
        <v>18.455691789180079</v>
      </c>
    </row>
    <row r="8" spans="1:6" x14ac:dyDescent="0.25">
      <c r="A8" t="s">
        <v>113</v>
      </c>
      <c r="B8">
        <v>1175</v>
      </c>
      <c r="C8">
        <v>146</v>
      </c>
      <c r="D8">
        <v>1549.9400009999999</v>
      </c>
      <c r="E8">
        <v>87053</v>
      </c>
      <c r="F8" s="733">
        <f t="shared" si="0"/>
        <v>17.804555856776904</v>
      </c>
    </row>
    <row r="9" spans="1:6" x14ac:dyDescent="0.25">
      <c r="A9" t="s">
        <v>119</v>
      </c>
      <c r="B9">
        <v>3492</v>
      </c>
      <c r="C9">
        <v>46</v>
      </c>
      <c r="D9">
        <v>13060.42</v>
      </c>
      <c r="E9">
        <v>771015</v>
      </c>
      <c r="F9" s="733">
        <f t="shared" si="0"/>
        <v>16.939255397106411</v>
      </c>
    </row>
    <row r="10" spans="1:6" x14ac:dyDescent="0.25">
      <c r="A10" t="s">
        <v>123</v>
      </c>
      <c r="B10">
        <v>1051</v>
      </c>
      <c r="C10">
        <v>62</v>
      </c>
      <c r="D10">
        <v>1408.4149989999999</v>
      </c>
      <c r="E10">
        <v>68180</v>
      </c>
      <c r="F10" s="733">
        <f t="shared" si="0"/>
        <v>20.657304180111467</v>
      </c>
    </row>
    <row r="11" spans="1:6" x14ac:dyDescent="0.25">
      <c r="A11" t="s">
        <v>129</v>
      </c>
      <c r="B11">
        <v>1398</v>
      </c>
      <c r="C11">
        <v>180</v>
      </c>
      <c r="D11">
        <v>1176.0800000000008</v>
      </c>
      <c r="E11">
        <v>81591</v>
      </c>
      <c r="F11" s="733">
        <f t="shared" si="0"/>
        <v>14.414334914390079</v>
      </c>
    </row>
    <row r="12" spans="1:6" x14ac:dyDescent="0.25">
      <c r="A12" t="s">
        <v>136</v>
      </c>
      <c r="B12">
        <f>SUM(B4:B11)</f>
        <v>12425</v>
      </c>
      <c r="C12">
        <f t="shared" ref="C12:E12" si="1">SUM(C4:C11)</f>
        <v>730</v>
      </c>
      <c r="D12">
        <f t="shared" si="1"/>
        <v>24482.137999000006</v>
      </c>
      <c r="E12">
        <f t="shared" si="1"/>
        <v>1326209</v>
      </c>
      <c r="F12" s="733">
        <f t="shared" si="0"/>
        <v>18.460241182950806</v>
      </c>
    </row>
  </sheetData>
  <sheetProtection selectLockedCells="1" selectUnlockedCells="1"/>
  <phoneticPr fontId="33" type="noConversion"/>
  <hyperlinks>
    <hyperlink ref="E1" location="Índice!A1" display="ir a índice" xr:uid="{78246965-E17B-4E25-9BA8-9A14947EF00E}"/>
  </hyperlinks>
  <pageMargins left="0.75" right="0.75" top="0.47013888888888888" bottom="1" header="0.51180555555555551" footer="0.51180555555555551"/>
  <pageSetup paperSize="9" firstPageNumber="0" orientation="landscape" horizontalDpi="300" verticalDpi="300"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5">
    <tabColor rgb="FFBF8B2E"/>
    <pageSetUpPr fitToPage="1"/>
  </sheetPr>
  <dimension ref="A1:W60"/>
  <sheetViews>
    <sheetView workbookViewId="0">
      <selection activeCell="M1" sqref="M1"/>
    </sheetView>
  </sheetViews>
  <sheetFormatPr baseColWidth="10" defaultColWidth="9.140625" defaultRowHeight="14.25" x14ac:dyDescent="0.25"/>
  <cols>
    <col min="1" max="1" width="43" style="2" customWidth="1"/>
    <col min="2" max="4" width="10.28515625" style="2" hidden="1" customWidth="1"/>
    <col min="5" max="5" width="12.85546875" style="2" customWidth="1"/>
    <col min="6" max="7" width="10.28515625" style="16" hidden="1" customWidth="1"/>
    <col min="8" max="8" width="10.28515625" style="14" hidden="1" customWidth="1"/>
    <col min="9" max="12" width="10.28515625" style="6" hidden="1" customWidth="1"/>
    <col min="13" max="13" width="10.28515625" style="6" customWidth="1"/>
    <col min="14" max="21" width="9.140625" style="6"/>
    <col min="22" max="22" width="9.85546875" style="6" customWidth="1"/>
    <col min="23" max="23" width="4.7109375" style="6" customWidth="1"/>
    <col min="24" max="16384" width="9.140625" style="6"/>
  </cols>
  <sheetData>
    <row r="1" spans="1:23" x14ac:dyDescent="0.25">
      <c r="A1" s="555" t="s">
        <v>1120</v>
      </c>
      <c r="B1" s="9"/>
      <c r="C1" s="6"/>
      <c r="D1" s="6"/>
      <c r="E1" s="942" t="s">
        <v>1230</v>
      </c>
      <c r="F1" s="6"/>
    </row>
    <row r="2" spans="1:23" x14ac:dyDescent="0.25">
      <c r="A2" s="555" t="s">
        <v>206</v>
      </c>
      <c r="B2" s="7"/>
      <c r="D2" s="18"/>
      <c r="F2" s="19"/>
      <c r="G2" s="19"/>
      <c r="H2" s="20"/>
    </row>
    <row r="3" spans="1:23" x14ac:dyDescent="0.25">
      <c r="A3" t="s">
        <v>1008</v>
      </c>
      <c r="B3" t="s">
        <v>1095</v>
      </c>
      <c r="C3" t="s">
        <v>1096</v>
      </c>
      <c r="D3" t="s">
        <v>1097</v>
      </c>
      <c r="E3" t="s">
        <v>1098</v>
      </c>
      <c r="F3" t="s">
        <v>1099</v>
      </c>
      <c r="G3" t="s">
        <v>1100</v>
      </c>
      <c r="H3" t="s">
        <v>1101</v>
      </c>
      <c r="I3" t="s">
        <v>1102</v>
      </c>
      <c r="J3" t="s">
        <v>1103</v>
      </c>
      <c r="K3" t="s">
        <v>1104</v>
      </c>
      <c r="L3" t="s">
        <v>1105</v>
      </c>
      <c r="M3" t="s">
        <v>1106</v>
      </c>
      <c r="N3" t="s">
        <v>1107</v>
      </c>
      <c r="O3" t="s">
        <v>1108</v>
      </c>
      <c r="P3" t="s">
        <v>1109</v>
      </c>
      <c r="Q3" t="s">
        <v>1110</v>
      </c>
      <c r="R3" t="s">
        <v>1111</v>
      </c>
      <c r="S3" t="s">
        <v>1112</v>
      </c>
      <c r="T3" t="s">
        <v>1113</v>
      </c>
      <c r="U3" t="s">
        <v>1114</v>
      </c>
      <c r="V3" t="s">
        <v>1115</v>
      </c>
    </row>
    <row r="4" spans="1:23" ht="20.25" customHeight="1" x14ac:dyDescent="0.25">
      <c r="A4" t="s">
        <v>224</v>
      </c>
      <c r="B4">
        <v>1715</v>
      </c>
      <c r="C4">
        <v>4485</v>
      </c>
      <c r="D4">
        <v>5082</v>
      </c>
      <c r="E4">
        <v>6144</v>
      </c>
      <c r="F4">
        <v>8596.3739999999998</v>
      </c>
      <c r="G4">
        <v>11571.326999999999</v>
      </c>
      <c r="H4">
        <v>13989.65977</v>
      </c>
      <c r="I4">
        <v>16274.955260000001</v>
      </c>
      <c r="J4">
        <v>16833.169798377701</v>
      </c>
      <c r="K4">
        <v>17063.888995000001</v>
      </c>
      <c r="L4">
        <v>17164</v>
      </c>
      <c r="M4">
        <v>16707</v>
      </c>
      <c r="N4">
        <v>16933.616000000002</v>
      </c>
      <c r="O4">
        <v>17206.408640000001</v>
      </c>
      <c r="P4">
        <v>17867</v>
      </c>
      <c r="Q4">
        <v>18483.809999000001</v>
      </c>
      <c r="R4">
        <v>20384.833175</v>
      </c>
      <c r="S4">
        <v>22113.582004</v>
      </c>
      <c r="T4">
        <v>24200.626012999997</v>
      </c>
      <c r="U4">
        <v>24291.456008999998</v>
      </c>
      <c r="V4">
        <v>24482.137999000006</v>
      </c>
    </row>
    <row r="5" spans="1:23" ht="28.5" x14ac:dyDescent="0.25">
      <c r="A5" t="s">
        <v>225</v>
      </c>
      <c r="B5"/>
      <c r="C5"/>
      <c r="D5">
        <v>7.6049041306211871</v>
      </c>
      <c r="E5">
        <v>7.0095777026063448</v>
      </c>
      <c r="F5">
        <v>9.1130280099988763</v>
      </c>
      <c r="G5">
        <v>10.285276586213088</v>
      </c>
      <c r="H5">
        <v>11.598366547142827</v>
      </c>
      <c r="I5">
        <v>12.386960783269069</v>
      </c>
      <c r="J5">
        <v>12.620952232638961</v>
      </c>
      <c r="K5">
        <v>12.769065043783572</v>
      </c>
      <c r="L5">
        <v>12.8</v>
      </c>
      <c r="M5" s="733">
        <v>12.5</v>
      </c>
      <c r="N5" s="733">
        <v>12.834272392273492</v>
      </c>
      <c r="O5" s="733">
        <v>13.114840653058737</v>
      </c>
      <c r="P5" s="733">
        <v>13.7</v>
      </c>
      <c r="Q5" s="733">
        <v>14.129668020480739</v>
      </c>
      <c r="R5" s="733">
        <v>15.583078843303349</v>
      </c>
      <c r="S5" s="733">
        <v>16.767690235445144</v>
      </c>
      <c r="T5" s="733">
        <v>18.210733379185065</v>
      </c>
      <c r="U5" s="733">
        <v>18.32093734298223</v>
      </c>
      <c r="V5" s="733">
        <v>18.460241182950806</v>
      </c>
      <c r="W5" s="104"/>
    </row>
    <row r="6" spans="1:23" ht="21" customHeight="1" x14ac:dyDescent="0.25">
      <c r="A6" t="s">
        <v>226</v>
      </c>
      <c r="B6"/>
      <c r="C6"/>
      <c r="D6">
        <v>668253</v>
      </c>
      <c r="E6">
        <v>876515</v>
      </c>
      <c r="F6">
        <v>943306</v>
      </c>
      <c r="G6">
        <v>1125038</v>
      </c>
      <c r="H6">
        <v>1206175</v>
      </c>
      <c r="I6">
        <v>1313878</v>
      </c>
      <c r="J6">
        <v>1333748</v>
      </c>
      <c r="K6">
        <v>1336346</v>
      </c>
      <c r="L6">
        <v>1341940</v>
      </c>
      <c r="M6">
        <v>1336764</v>
      </c>
      <c r="N6">
        <v>1319406</v>
      </c>
      <c r="O6">
        <v>1311980</v>
      </c>
      <c r="P6">
        <v>1307562</v>
      </c>
      <c r="Q6">
        <v>1308156</v>
      </c>
      <c r="R6">
        <v>1308139</v>
      </c>
      <c r="S6">
        <v>1318821</v>
      </c>
      <c r="T6">
        <v>1328921</v>
      </c>
      <c r="U6">
        <v>1326261</v>
      </c>
      <c r="V6">
        <v>1326209</v>
      </c>
      <c r="W6" s="104"/>
    </row>
    <row r="7" spans="1:23" x14ac:dyDescent="0.25">
      <c r="A7" s="28"/>
      <c r="B7" s="38"/>
      <c r="C7" s="22">
        <v>12.7</v>
      </c>
      <c r="D7" s="6"/>
      <c r="E7" s="6"/>
      <c r="F7" s="6"/>
      <c r="G7" s="6"/>
      <c r="H7" s="6"/>
    </row>
    <row r="8" spans="1:23" x14ac:dyDescent="0.25">
      <c r="A8" s="28"/>
      <c r="B8" s="38"/>
      <c r="C8" s="22">
        <v>11.5</v>
      </c>
      <c r="D8" s="6"/>
      <c r="E8" s="6"/>
      <c r="F8" s="6"/>
      <c r="G8" s="6"/>
      <c r="H8" s="6"/>
    </row>
    <row r="9" spans="1:23" x14ac:dyDescent="0.25">
      <c r="A9" s="6"/>
      <c r="B9" s="6"/>
      <c r="C9" s="6"/>
      <c r="D9" s="6"/>
      <c r="E9" s="6"/>
      <c r="F9" s="6"/>
      <c r="G9" s="6"/>
      <c r="H9" s="6"/>
    </row>
    <row r="10" spans="1:23" x14ac:dyDescent="0.25">
      <c r="A10" s="6"/>
      <c r="B10" s="6"/>
      <c r="C10" s="6"/>
      <c r="D10" s="6"/>
      <c r="E10" s="6"/>
      <c r="F10" s="6"/>
      <c r="G10" s="6"/>
      <c r="H10" s="6"/>
    </row>
    <row r="11" spans="1:23" x14ac:dyDescent="0.25">
      <c r="A11" s="6"/>
      <c r="B11" s="6"/>
      <c r="C11" s="6"/>
      <c r="D11" s="6"/>
      <c r="E11" s="6"/>
      <c r="F11" s="6"/>
      <c r="G11" s="6"/>
      <c r="H11" s="6"/>
    </row>
    <row r="12" spans="1:23" x14ac:dyDescent="0.25">
      <c r="A12" s="6"/>
      <c r="B12" s="6"/>
      <c r="C12" s="6"/>
      <c r="D12" s="6"/>
      <c r="E12" s="6"/>
      <c r="F12" s="6"/>
      <c r="G12" s="6"/>
      <c r="H12" s="6"/>
    </row>
    <row r="13" spans="1:23" x14ac:dyDescent="0.25">
      <c r="A13" s="3"/>
      <c r="B13" s="7"/>
      <c r="C13" s="18"/>
      <c r="E13" s="7"/>
      <c r="F13" s="19"/>
      <c r="G13" s="19"/>
      <c r="H13" s="6"/>
    </row>
    <row r="14" spans="1:23" x14ac:dyDescent="0.25">
      <c r="A14" s="3"/>
      <c r="B14" s="7"/>
      <c r="C14" s="18"/>
      <c r="E14" s="3"/>
      <c r="F14" s="31"/>
      <c r="G14" s="31"/>
      <c r="H14" s="6"/>
    </row>
    <row r="15" spans="1:23" x14ac:dyDescent="0.25">
      <c r="A15" s="3"/>
      <c r="B15" s="7"/>
      <c r="C15" s="18"/>
      <c r="E15" s="3"/>
      <c r="F15" s="31"/>
      <c r="G15" s="31"/>
      <c r="H15" s="6"/>
    </row>
    <row r="16" spans="1:23" x14ac:dyDescent="0.25">
      <c r="A16" s="3"/>
      <c r="B16" s="7"/>
      <c r="C16" s="18"/>
      <c r="D16" s="18"/>
      <c r="E16" s="7"/>
      <c r="F16" s="19"/>
      <c r="G16" s="19"/>
      <c r="H16" s="6"/>
    </row>
    <row r="17" spans="1:8" x14ac:dyDescent="0.25">
      <c r="A17" s="3"/>
      <c r="B17" s="7"/>
      <c r="C17" s="18"/>
      <c r="D17" s="18"/>
      <c r="E17" s="3"/>
      <c r="F17" s="31"/>
      <c r="G17" s="31"/>
      <c r="H17" s="6"/>
    </row>
    <row r="18" spans="1:8" x14ac:dyDescent="0.25">
      <c r="A18" s="3"/>
      <c r="B18" s="7"/>
      <c r="C18" s="18"/>
      <c r="D18" s="18"/>
      <c r="E18" s="21"/>
      <c r="F18" s="19"/>
      <c r="G18" s="19"/>
      <c r="H18" s="6"/>
    </row>
    <row r="19" spans="1:8" x14ac:dyDescent="0.25">
      <c r="A19" s="3"/>
      <c r="B19" s="7"/>
      <c r="C19" s="18"/>
      <c r="D19" s="18"/>
      <c r="E19" s="21"/>
      <c r="F19" s="17"/>
      <c r="G19" s="17"/>
      <c r="H19" s="6"/>
    </row>
    <row r="20" spans="1:8" x14ac:dyDescent="0.25">
      <c r="A20" s="3"/>
      <c r="B20" s="7"/>
      <c r="C20" s="18"/>
      <c r="D20" s="18"/>
      <c r="E20" s="21"/>
      <c r="F20" s="17"/>
      <c r="G20" s="17"/>
      <c r="H20" s="6"/>
    </row>
    <row r="21" spans="1:8" x14ac:dyDescent="0.25">
      <c r="A21" s="3"/>
      <c r="B21" s="7"/>
      <c r="C21" s="18"/>
      <c r="E21" s="21"/>
      <c r="F21" s="19"/>
      <c r="G21" s="19"/>
      <c r="H21" s="20"/>
    </row>
    <row r="22" spans="1:8" x14ac:dyDescent="0.25">
      <c r="A22" s="3"/>
      <c r="B22" s="7"/>
      <c r="C22" s="18"/>
      <c r="D22" s="18"/>
      <c r="E22" s="21"/>
      <c r="F22" s="17"/>
      <c r="G22" s="17"/>
    </row>
    <row r="23" spans="1:8" x14ac:dyDescent="0.25">
      <c r="A23" s="3"/>
      <c r="B23" s="7"/>
      <c r="D23" s="18"/>
      <c r="E23" s="21"/>
      <c r="F23" s="19"/>
      <c r="G23" s="19"/>
      <c r="H23" s="20"/>
    </row>
    <row r="24" spans="1:8" x14ac:dyDescent="0.25">
      <c r="A24" s="3"/>
      <c r="B24" s="7"/>
      <c r="D24" s="18"/>
      <c r="E24" s="3"/>
      <c r="F24" s="31"/>
      <c r="G24" s="31"/>
    </row>
    <row r="25" spans="1:8" x14ac:dyDescent="0.25">
      <c r="A25" s="3"/>
      <c r="B25" s="7"/>
      <c r="D25" s="18"/>
      <c r="E25" s="21"/>
      <c r="F25" s="19"/>
      <c r="G25" s="19"/>
      <c r="H25" s="20"/>
    </row>
    <row r="26" spans="1:8" x14ac:dyDescent="0.25">
      <c r="A26" s="3"/>
      <c r="B26" s="7"/>
      <c r="D26" s="18"/>
      <c r="E26" s="3"/>
      <c r="F26" s="31"/>
      <c r="G26" s="17"/>
    </row>
    <row r="60" spans="1:8" s="5" customFormat="1" ht="12.75" x14ac:dyDescent="0.2">
      <c r="A60" s="1"/>
      <c r="B60" s="1"/>
      <c r="C60" s="1"/>
      <c r="D60" s="1"/>
      <c r="E60" s="1"/>
      <c r="F60" s="41"/>
      <c r="G60" s="41"/>
      <c r="H60" s="8"/>
    </row>
  </sheetData>
  <sheetProtection selectLockedCells="1" selectUnlockedCells="1"/>
  <phoneticPr fontId="33" type="noConversion"/>
  <hyperlinks>
    <hyperlink ref="E1" location="Índice!A1" display="ir a índice" xr:uid="{F53B5339-7A14-45BF-9CA6-8D447B364662}"/>
  </hyperlinks>
  <pageMargins left="0.75" right="0.75" top="0.49027777777777776" bottom="0.65972222222222221" header="0.51180555555555551" footer="0.51180555555555551"/>
  <pageSetup paperSize="9" scale="58" firstPageNumber="0" orientation="landscape" horizontalDpi="300" verticalDpi="300" r:id="rId1"/>
  <headerFooter alignWithMargins="0"/>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6">
    <tabColor rgb="FFBF8B2E"/>
  </sheetPr>
  <dimension ref="A1:T11"/>
  <sheetViews>
    <sheetView workbookViewId="0">
      <selection activeCell="M1" sqref="M1"/>
    </sheetView>
  </sheetViews>
  <sheetFormatPr baseColWidth="10" defaultColWidth="9.140625" defaultRowHeight="14.25" x14ac:dyDescent="0.25"/>
  <cols>
    <col min="1" max="1" width="35.140625" style="2" customWidth="1"/>
    <col min="2" max="2" width="20.140625" style="2" customWidth="1"/>
    <col min="3" max="3" width="17.7109375" style="2" customWidth="1"/>
    <col min="4" max="4" width="23.85546875" style="2" customWidth="1"/>
    <col min="5" max="5" width="12.85546875" style="2" customWidth="1"/>
    <col min="6" max="6" width="11.28515625" style="16" customWidth="1"/>
    <col min="7" max="7" width="11.5703125" style="6" customWidth="1"/>
    <col min="8" max="8" width="3" style="6" customWidth="1"/>
    <col min="9" max="9" width="7.42578125" style="6" customWidth="1"/>
    <col min="10" max="10" width="10.85546875" style="6" customWidth="1"/>
    <col min="11" max="11" width="5.28515625" style="6" customWidth="1"/>
    <col min="12" max="16384" width="9.140625" style="6"/>
  </cols>
  <sheetData>
    <row r="1" spans="1:20" x14ac:dyDescent="0.25">
      <c r="A1" s="555" t="s">
        <v>1122</v>
      </c>
      <c r="E1" s="942" t="s">
        <v>1230</v>
      </c>
    </row>
    <row r="2" spans="1:20" x14ac:dyDescent="0.25">
      <c r="A2" s="734" t="s">
        <v>1123</v>
      </c>
    </row>
    <row r="3" spans="1:20" ht="28.5" x14ac:dyDescent="0.25">
      <c r="A3" t="s">
        <v>1121</v>
      </c>
      <c r="B3" t="s">
        <v>227</v>
      </c>
      <c r="C3" t="s">
        <v>228</v>
      </c>
      <c r="D3" t="s">
        <v>229</v>
      </c>
      <c r="E3" t="s">
        <v>230</v>
      </c>
      <c r="F3" t="s">
        <v>136</v>
      </c>
      <c r="H3" s="292"/>
      <c r="I3" s="91"/>
      <c r="J3" s="91"/>
      <c r="K3" s="91"/>
      <c r="L3" s="91"/>
      <c r="M3" s="91"/>
      <c r="N3" s="91"/>
      <c r="O3" s="91"/>
      <c r="P3" s="91"/>
      <c r="Q3" s="91"/>
      <c r="R3" s="91"/>
      <c r="S3" s="91"/>
      <c r="T3" s="91"/>
    </row>
    <row r="4" spans="1:20" x14ac:dyDescent="0.25">
      <c r="A4" t="s">
        <v>231</v>
      </c>
      <c r="B4">
        <v>12537.456596776097</v>
      </c>
      <c r="C4">
        <v>3317.3702344739995</v>
      </c>
      <c r="D4">
        <v>1814.7352121919998</v>
      </c>
      <c r="E4"/>
      <c r="F4">
        <f>SUM(B4:E4)</f>
        <v>17669.562043442096</v>
      </c>
    </row>
    <row r="5" spans="1:20" x14ac:dyDescent="0.25">
      <c r="A5" t="s">
        <v>232</v>
      </c>
      <c r="B5"/>
      <c r="C5"/>
      <c r="D5">
        <v>10778</v>
      </c>
      <c r="E5"/>
      <c r="F5">
        <f>SUM(B5:E5)</f>
        <v>10778</v>
      </c>
    </row>
    <row r="6" spans="1:20" x14ac:dyDescent="0.25">
      <c r="A6" t="s">
        <v>233</v>
      </c>
      <c r="B6"/>
      <c r="C6"/>
      <c r="D6">
        <v>1183</v>
      </c>
      <c r="E6"/>
      <c r="F6">
        <f>SUM(B6:E6)</f>
        <v>1183</v>
      </c>
    </row>
    <row r="7" spans="1:20" ht="25.5" customHeight="1" x14ac:dyDescent="0.25">
      <c r="A7" t="s">
        <v>234</v>
      </c>
      <c r="B7">
        <v>3050.86</v>
      </c>
      <c r="C7">
        <v>1641.1564799999999</v>
      </c>
      <c r="D7">
        <v>1153.8679999999999</v>
      </c>
      <c r="E7"/>
      <c r="F7">
        <f>SUM(B7:E7)</f>
        <v>5845.8844800000006</v>
      </c>
      <c r="G7" s="104"/>
    </row>
    <row r="8" spans="1:20" x14ac:dyDescent="0.25">
      <c r="A8" t="s">
        <v>235</v>
      </c>
      <c r="B8">
        <f>SUM(B4:B7)</f>
        <v>15588.316596776098</v>
      </c>
      <c r="C8">
        <f t="shared" ref="C8:F8" si="0">SUM(C4:C7)</f>
        <v>4958.5267144739992</v>
      </c>
      <c r="D8">
        <f t="shared" si="0"/>
        <v>14929.603212192</v>
      </c>
      <c r="E8">
        <f t="shared" si="0"/>
        <v>0</v>
      </c>
      <c r="F8">
        <f t="shared" si="0"/>
        <v>35476.446523442093</v>
      </c>
    </row>
    <row r="11" spans="1:20" x14ac:dyDescent="0.25">
      <c r="C11" s="93"/>
    </row>
  </sheetData>
  <sheetProtection selectLockedCells="1" selectUnlockedCells="1"/>
  <phoneticPr fontId="33" type="noConversion"/>
  <hyperlinks>
    <hyperlink ref="E1" location="Índice!A1" display="ir a índice" xr:uid="{72C7ADAF-2637-400D-8AB4-A49B647993F5}"/>
  </hyperlinks>
  <pageMargins left="0.75" right="0.75" top="0.49027777777777776" bottom="0.65972222222222221" header="0.51180555555555551" footer="0.51180555555555551"/>
  <pageSetup paperSize="9" scale="80" firstPageNumber="0" orientation="landscape" horizontalDpi="300" verticalDpi="300"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7">
    <tabColor rgb="FFBF8B2E"/>
  </sheetPr>
  <dimension ref="A1:L7"/>
  <sheetViews>
    <sheetView workbookViewId="0">
      <selection activeCell="M1" sqref="M1"/>
    </sheetView>
  </sheetViews>
  <sheetFormatPr baseColWidth="10" defaultColWidth="9.140625" defaultRowHeight="14.25" x14ac:dyDescent="0.25"/>
  <cols>
    <col min="1" max="1" width="18.5703125" style="2" customWidth="1"/>
    <col min="2" max="2" width="24.42578125" style="2" customWidth="1"/>
    <col min="3" max="3" width="34.7109375" style="2" customWidth="1"/>
    <col min="4" max="4" width="13" style="2" customWidth="1"/>
    <col min="5" max="5" width="12.85546875" style="2" customWidth="1"/>
    <col min="6" max="6" width="7.5703125" style="16" customWidth="1"/>
    <col min="7" max="7" width="4.28515625" style="16" customWidth="1"/>
    <col min="8" max="8" width="0.7109375" style="14" customWidth="1"/>
    <col min="9" max="9" width="3" style="6" customWidth="1"/>
    <col min="10" max="10" width="0.7109375" style="6" customWidth="1"/>
    <col min="11" max="11" width="1.140625" style="6" customWidth="1"/>
    <col min="12" max="12" width="9.140625" style="6" hidden="1" customWidth="1"/>
    <col min="13" max="16384" width="9.140625" style="6"/>
  </cols>
  <sheetData>
    <row r="1" spans="1:12" s="10" customFormat="1" ht="12.75" x14ac:dyDescent="0.2">
      <c r="A1" s="555" t="s">
        <v>1124</v>
      </c>
      <c r="C1" s="180"/>
      <c r="E1" s="942" t="s">
        <v>1230</v>
      </c>
      <c r="F1" s="43"/>
      <c r="G1" s="44"/>
      <c r="H1" s="45"/>
    </row>
    <row r="2" spans="1:12" x14ac:dyDescent="0.25">
      <c r="A2" s="734" t="s">
        <v>241</v>
      </c>
      <c r="B2" s="7"/>
      <c r="C2" s="181"/>
      <c r="D2" s="18"/>
      <c r="F2" s="19"/>
      <c r="G2" s="19"/>
      <c r="H2" s="20"/>
    </row>
    <row r="3" spans="1:12" ht="27.75" customHeight="1" x14ac:dyDescent="0.25">
      <c r="A3" t="s">
        <v>236</v>
      </c>
      <c r="B3" t="s">
        <v>237</v>
      </c>
      <c r="C3" t="s">
        <v>238</v>
      </c>
      <c r="D3" s="4"/>
      <c r="E3" s="4"/>
      <c r="F3" s="4"/>
      <c r="G3" s="4"/>
      <c r="H3" s="4"/>
      <c r="I3" s="4"/>
      <c r="J3" s="4"/>
      <c r="K3" s="4"/>
      <c r="L3" s="4"/>
    </row>
    <row r="4" spans="1:12" x14ac:dyDescent="0.25">
      <c r="A4" t="s">
        <v>239</v>
      </c>
      <c r="B4">
        <v>126</v>
      </c>
      <c r="C4">
        <v>79</v>
      </c>
      <c r="D4" s="7"/>
      <c r="E4" s="7"/>
      <c r="F4" s="7"/>
      <c r="G4" s="7"/>
      <c r="H4" s="7"/>
    </row>
    <row r="5" spans="1:12" x14ac:dyDescent="0.25">
      <c r="A5" t="s">
        <v>240</v>
      </c>
      <c r="B5">
        <v>105</v>
      </c>
      <c r="C5">
        <v>85</v>
      </c>
      <c r="D5" s="7"/>
      <c r="E5" s="17"/>
      <c r="G5" s="14"/>
      <c r="H5" s="6"/>
    </row>
    <row r="6" spans="1:12" x14ac:dyDescent="0.25">
      <c r="A6" t="s">
        <v>56</v>
      </c>
      <c r="B6">
        <v>504</v>
      </c>
      <c r="C6">
        <v>151</v>
      </c>
      <c r="D6" s="7"/>
      <c r="E6" s="17"/>
      <c r="G6" s="14"/>
      <c r="H6" s="6"/>
    </row>
    <row r="7" spans="1:12" x14ac:dyDescent="0.25">
      <c r="A7" t="s">
        <v>136</v>
      </c>
      <c r="B7">
        <f>SUM(B4:B6)</f>
        <v>735</v>
      </c>
      <c r="C7">
        <f>SUM(C4:C6)</f>
        <v>315</v>
      </c>
      <c r="D7" s="17"/>
      <c r="E7" s="17"/>
      <c r="F7" s="17"/>
      <c r="G7" s="34"/>
      <c r="H7" s="6"/>
    </row>
  </sheetData>
  <sheetProtection selectLockedCells="1" selectUnlockedCells="1"/>
  <phoneticPr fontId="33" type="noConversion"/>
  <hyperlinks>
    <hyperlink ref="E1" location="Índice!A1" display="ir a índice" xr:uid="{F16ECA69-D5D2-424E-B411-124DAD61062C}"/>
  </hyperlinks>
  <pageMargins left="0.75" right="0.75" top="0.42986111111111114" bottom="1" header="0.51180555555555551" footer="0.51180555555555551"/>
  <pageSetup paperSize="9" firstPageNumber="0" orientation="portrait" horizontalDpi="300" verticalDpi="300"/>
  <headerFooter alignWithMargins="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8">
    <tabColor rgb="FFBF8B2E"/>
    <pageSetUpPr fitToPage="1"/>
  </sheetPr>
  <dimension ref="A1:Y19"/>
  <sheetViews>
    <sheetView workbookViewId="0">
      <selection activeCell="M1" sqref="M1"/>
    </sheetView>
  </sheetViews>
  <sheetFormatPr baseColWidth="10" defaultColWidth="9.140625" defaultRowHeight="14.25" x14ac:dyDescent="0.25"/>
  <cols>
    <col min="1" max="1" width="23.140625" style="2" customWidth="1"/>
    <col min="2" max="4" width="9.5703125" style="2" customWidth="1"/>
    <col min="5" max="5" width="12.85546875" style="2" customWidth="1"/>
    <col min="6" max="7" width="9.5703125" style="16" customWidth="1"/>
    <col min="8" max="8" width="9.5703125" style="14" customWidth="1"/>
    <col min="9" max="11" width="9.5703125" style="6" customWidth="1"/>
    <col min="12" max="13" width="8.85546875" style="6" customWidth="1"/>
    <col min="14" max="19" width="9.140625" style="6"/>
    <col min="20" max="20" width="9.42578125" style="6" customWidth="1"/>
    <col min="21" max="16384" width="9.140625" style="6"/>
  </cols>
  <sheetData>
    <row r="1" spans="1:21" x14ac:dyDescent="0.25">
      <c r="A1" s="555" t="s">
        <v>1125</v>
      </c>
      <c r="B1" s="9"/>
      <c r="C1" s="6"/>
      <c r="D1" s="6"/>
      <c r="E1" s="942" t="s">
        <v>1230</v>
      </c>
      <c r="F1" s="6"/>
    </row>
    <row r="2" spans="1:21" x14ac:dyDescent="0.25">
      <c r="A2" s="555" t="s">
        <v>1126</v>
      </c>
      <c r="B2" s="7"/>
      <c r="D2" s="18"/>
      <c r="F2" s="19"/>
      <c r="G2" s="19"/>
      <c r="H2" s="20"/>
      <c r="R2" s="28"/>
    </row>
    <row r="3" spans="1:21" x14ac:dyDescent="0.25">
      <c r="A3" t="s">
        <v>1008</v>
      </c>
      <c r="B3" t="s">
        <v>1096</v>
      </c>
      <c r="C3" t="s">
        <v>1097</v>
      </c>
      <c r="D3" t="s">
        <v>1098</v>
      </c>
      <c r="E3" t="s">
        <v>1099</v>
      </c>
      <c r="F3" t="s">
        <v>1100</v>
      </c>
      <c r="G3" t="s">
        <v>1101</v>
      </c>
      <c r="H3" t="s">
        <v>1102</v>
      </c>
      <c r="I3" t="s">
        <v>1103</v>
      </c>
      <c r="J3" t="s">
        <v>1104</v>
      </c>
      <c r="K3" t="s">
        <v>1105</v>
      </c>
      <c r="L3" t="s">
        <v>1106</v>
      </c>
      <c r="M3" t="s">
        <v>1107</v>
      </c>
      <c r="N3" t="s">
        <v>1108</v>
      </c>
      <c r="O3" t="s">
        <v>1109</v>
      </c>
      <c r="P3" t="s">
        <v>1110</v>
      </c>
      <c r="Q3" t="s">
        <v>1111</v>
      </c>
      <c r="R3" t="s">
        <v>1112</v>
      </c>
      <c r="S3" t="s">
        <v>1113</v>
      </c>
      <c r="T3" t="s">
        <v>1114</v>
      </c>
      <c r="U3" t="s">
        <v>1115</v>
      </c>
    </row>
    <row r="4" spans="1:21" ht="42.75" x14ac:dyDescent="0.25">
      <c r="A4" t="s">
        <v>242</v>
      </c>
      <c r="B4">
        <v>40000</v>
      </c>
      <c r="C4">
        <v>50894</v>
      </c>
      <c r="D4">
        <v>62922</v>
      </c>
      <c r="E4">
        <v>74480</v>
      </c>
      <c r="F4">
        <v>87713</v>
      </c>
      <c r="G4">
        <v>98.355000000000004</v>
      </c>
      <c r="H4">
        <v>113.92400000000001</v>
      </c>
      <c r="I4">
        <v>122.5</v>
      </c>
      <c r="J4">
        <v>137.04</v>
      </c>
      <c r="K4">
        <v>143.71600000000001</v>
      </c>
      <c r="L4">
        <v>151.60400000000001</v>
      </c>
      <c r="M4">
        <v>163.19300000000001</v>
      </c>
      <c r="N4">
        <v>170.947</v>
      </c>
      <c r="O4">
        <v>166.976</v>
      </c>
      <c r="P4">
        <v>161.32400000000001</v>
      </c>
      <c r="Q4">
        <v>167.477</v>
      </c>
      <c r="R4">
        <v>178.565</v>
      </c>
      <c r="S4">
        <v>137.505</v>
      </c>
      <c r="T4">
        <v>145.58199999999999</v>
      </c>
      <c r="U4">
        <v>156.22200000000001</v>
      </c>
    </row>
    <row r="5" spans="1:21" x14ac:dyDescent="0.25">
      <c r="A5" t="s">
        <v>243</v>
      </c>
      <c r="B5" s="737"/>
      <c r="C5" s="737">
        <v>3.39</v>
      </c>
      <c r="D5" s="737">
        <v>4.13</v>
      </c>
      <c r="E5" s="737">
        <v>4.9800000000000004</v>
      </c>
      <c r="F5" s="737">
        <v>5.64</v>
      </c>
      <c r="G5" s="737">
        <v>6.18</v>
      </c>
      <c r="H5" s="737">
        <v>7.06</v>
      </c>
      <c r="I5" s="737">
        <v>7.58</v>
      </c>
      <c r="J5" s="737">
        <v>8.48</v>
      </c>
      <c r="K5" s="737">
        <v>8.8699999999999992</v>
      </c>
      <c r="L5" s="737">
        <v>0.11253683702631481</v>
      </c>
      <c r="M5" s="737">
        <v>0.12312875126849934</v>
      </c>
      <c r="N5" s="737">
        <v>0.12971687912177968</v>
      </c>
      <c r="O5" s="737">
        <v>0.12760256861916469</v>
      </c>
      <c r="P5" s="737">
        <v>0.12326571155682904</v>
      </c>
      <c r="Q5" s="737">
        <v>0.12796929537688503</v>
      </c>
      <c r="R5" s="737">
        <v>0.13534921408544437</v>
      </c>
      <c r="S5" s="737">
        <v>0.10343458019499153</v>
      </c>
      <c r="T5" s="737">
        <v>0.10976874084361976</v>
      </c>
      <c r="U5" s="737">
        <f>U4*1000/1326315</f>
        <v>0.11778649868243969</v>
      </c>
    </row>
    <row r="6" spans="1:21" x14ac:dyDescent="0.25">
      <c r="A6" s="3"/>
      <c r="B6" s="7"/>
      <c r="C6" s="18"/>
      <c r="E6" s="3"/>
      <c r="F6" s="31"/>
      <c r="G6" s="31"/>
      <c r="K6" s="29"/>
      <c r="M6" s="39"/>
      <c r="N6" s="39"/>
      <c r="O6" s="39"/>
      <c r="P6" s="39"/>
      <c r="Q6" s="39"/>
      <c r="R6" s="39"/>
      <c r="S6" s="39"/>
      <c r="T6" s="39"/>
    </row>
    <row r="7" spans="1:21" x14ac:dyDescent="0.25">
      <c r="A7" s="3"/>
      <c r="B7" s="7"/>
      <c r="C7" s="18"/>
      <c r="D7" s="18"/>
      <c r="E7" s="7"/>
      <c r="F7" s="19"/>
      <c r="G7" s="19"/>
      <c r="H7" s="20"/>
    </row>
    <row r="8" spans="1:21" x14ac:dyDescent="0.25">
      <c r="A8" s="3"/>
      <c r="B8" s="7"/>
      <c r="C8" s="18"/>
      <c r="D8" s="18"/>
      <c r="E8" s="3"/>
      <c r="F8" s="31"/>
      <c r="G8" s="31"/>
    </row>
    <row r="9" spans="1:21" x14ac:dyDescent="0.25">
      <c r="A9" s="3"/>
      <c r="B9" s="7"/>
      <c r="C9" s="18"/>
      <c r="D9" s="18"/>
      <c r="E9" s="21"/>
      <c r="F9" s="19"/>
      <c r="G9" s="19"/>
      <c r="H9" s="20"/>
    </row>
    <row r="10" spans="1:21" x14ac:dyDescent="0.25">
      <c r="A10" s="3"/>
      <c r="B10" s="7"/>
      <c r="C10" s="18"/>
      <c r="D10" s="18"/>
      <c r="E10" s="21"/>
      <c r="F10" s="17"/>
      <c r="G10" s="17"/>
    </row>
    <row r="11" spans="1:21" x14ac:dyDescent="0.25">
      <c r="A11" s="3"/>
      <c r="B11" s="7"/>
      <c r="C11" s="18"/>
      <c r="D11" s="18"/>
      <c r="E11" s="21"/>
      <c r="F11" s="17"/>
      <c r="G11" s="17"/>
    </row>
    <row r="12" spans="1:21" x14ac:dyDescent="0.25">
      <c r="A12" s="3"/>
      <c r="B12" s="7"/>
      <c r="C12" s="18"/>
      <c r="E12" s="21"/>
      <c r="F12" s="19"/>
      <c r="G12" s="19"/>
      <c r="H12" s="20"/>
    </row>
    <row r="13" spans="1:21" x14ac:dyDescent="0.25">
      <c r="A13" s="3"/>
      <c r="B13" s="7"/>
      <c r="C13" s="18"/>
      <c r="D13" s="18"/>
      <c r="E13" s="21"/>
      <c r="F13" s="17"/>
      <c r="G13" s="17"/>
    </row>
    <row r="14" spans="1:21" x14ac:dyDescent="0.25">
      <c r="A14" s="3"/>
      <c r="B14" s="7"/>
      <c r="D14" s="18"/>
      <c r="E14" s="21"/>
      <c r="F14" s="19"/>
      <c r="G14" s="19"/>
      <c r="H14" s="20"/>
    </row>
    <row r="15" spans="1:21" x14ac:dyDescent="0.25">
      <c r="A15" s="3"/>
      <c r="B15" s="7"/>
      <c r="D15" s="18"/>
      <c r="E15" s="3"/>
      <c r="F15" s="31"/>
      <c r="G15" s="31"/>
    </row>
    <row r="16" spans="1:21" x14ac:dyDescent="0.25">
      <c r="A16" s="3"/>
      <c r="B16" s="7"/>
      <c r="D16" s="18"/>
      <c r="E16" s="21"/>
      <c r="F16" s="19"/>
      <c r="G16" s="19"/>
      <c r="H16" s="20"/>
    </row>
    <row r="17" spans="1:25" x14ac:dyDescent="0.25">
      <c r="A17" s="3"/>
      <c r="B17" s="7"/>
      <c r="D17" s="18"/>
      <c r="E17" s="3"/>
      <c r="F17" s="31"/>
      <c r="G17" s="17"/>
      <c r="T17" s="94"/>
      <c r="U17" s="95"/>
      <c r="V17" s="95"/>
      <c r="W17" s="95"/>
      <c r="X17" s="95"/>
      <c r="Y17" s="95"/>
    </row>
    <row r="18" spans="1:25" x14ac:dyDescent="0.25">
      <c r="T18" s="95"/>
      <c r="U18" s="95"/>
      <c r="V18" s="95"/>
      <c r="W18" s="95"/>
      <c r="X18" s="95"/>
      <c r="Y18" s="95"/>
    </row>
    <row r="19" spans="1:25" x14ac:dyDescent="0.25">
      <c r="T19" s="95"/>
      <c r="U19" s="95"/>
      <c r="V19" s="95"/>
      <c r="W19" s="95"/>
      <c r="X19" s="95"/>
      <c r="Y19" s="95"/>
    </row>
  </sheetData>
  <sheetProtection selectLockedCells="1" selectUnlockedCells="1"/>
  <phoneticPr fontId="33" type="noConversion"/>
  <hyperlinks>
    <hyperlink ref="E1" location="Índice!A1" display="ir a índice" xr:uid="{A8DA1949-FA15-46BC-A9A5-DAB33244368E}"/>
  </hyperlinks>
  <pageMargins left="0.75" right="0.75" top="0.50972222222222219" bottom="0.35972222222222222" header="0.51180555555555551" footer="0.51180555555555551"/>
  <pageSetup paperSize="9" scale="90" firstPageNumber="0" orientation="landscape" horizontalDpi="300" verticalDpi="300" r:id="rId1"/>
  <headerFooter alignWithMargins="0"/>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9">
    <tabColor rgb="FFBF8B2E"/>
    <pageSetUpPr fitToPage="1"/>
  </sheetPr>
  <dimension ref="A1:R25"/>
  <sheetViews>
    <sheetView zoomScale="98" zoomScaleNormal="98" workbookViewId="0">
      <selection activeCell="M1" sqref="M1"/>
    </sheetView>
  </sheetViews>
  <sheetFormatPr baseColWidth="10" defaultColWidth="9.140625" defaultRowHeight="14.25" x14ac:dyDescent="0.25"/>
  <cols>
    <col min="1" max="1" width="13.7109375" style="2" customWidth="1"/>
    <col min="2" max="2" width="58.7109375" style="2" customWidth="1"/>
    <col min="3" max="3" width="23.28515625" style="2" customWidth="1"/>
    <col min="4" max="4" width="15.42578125" style="2" customWidth="1"/>
    <col min="5" max="5" width="12.85546875" style="2" customWidth="1"/>
    <col min="6" max="6" width="14.5703125" style="14" customWidth="1"/>
    <col min="7" max="7" width="11.5703125" style="6" customWidth="1"/>
    <col min="8" max="15" width="9.140625" style="6" customWidth="1"/>
    <col min="16" max="16" width="9.140625" style="98" customWidth="1"/>
    <col min="17" max="17" width="42.28515625" style="98" customWidth="1"/>
    <col min="18" max="18" width="27.42578125" style="98" customWidth="1"/>
    <col min="19" max="16384" width="9.140625" style="6"/>
  </cols>
  <sheetData>
    <row r="1" spans="1:18" x14ac:dyDescent="0.25">
      <c r="A1" s="555" t="s">
        <v>1127</v>
      </c>
      <c r="B1" s="15"/>
      <c r="C1" s="14"/>
      <c r="D1" s="6"/>
      <c r="E1" s="942" t="s">
        <v>1230</v>
      </c>
    </row>
    <row r="2" spans="1:18" x14ac:dyDescent="0.25">
      <c r="A2" s="555" t="s">
        <v>91</v>
      </c>
      <c r="B2" s="3"/>
      <c r="C2" s="3"/>
      <c r="E2" s="18"/>
    </row>
    <row r="3" spans="1:18" ht="28.5" x14ac:dyDescent="0.25">
      <c r="A3" s="553" t="s">
        <v>244</v>
      </c>
      <c r="B3" s="553" t="s">
        <v>363</v>
      </c>
      <c r="C3" s="553" t="s">
        <v>245</v>
      </c>
      <c r="D3" s="4"/>
      <c r="E3" s="6"/>
      <c r="F3" s="950"/>
      <c r="G3" s="950"/>
      <c r="H3" s="950"/>
      <c r="I3" s="950"/>
      <c r="J3" s="950"/>
      <c r="K3" s="950"/>
      <c r="L3" s="950"/>
      <c r="M3" s="950"/>
      <c r="P3" s="951"/>
      <c r="Q3" s="951"/>
      <c r="R3" s="108"/>
    </row>
    <row r="4" spans="1:18" ht="28.5" x14ac:dyDescent="0.25">
      <c r="A4" t="s">
        <v>246</v>
      </c>
      <c r="B4" t="s">
        <v>247</v>
      </c>
      <c r="C4">
        <v>0</v>
      </c>
      <c r="D4" s="47"/>
      <c r="E4" s="6"/>
      <c r="F4" s="952"/>
      <c r="G4" s="952"/>
      <c r="H4" s="952"/>
      <c r="I4" s="952"/>
      <c r="J4" s="952"/>
      <c r="K4" s="952"/>
      <c r="L4" s="952"/>
      <c r="M4" s="952"/>
      <c r="P4" s="109"/>
      <c r="Q4" s="99"/>
      <c r="R4" s="110"/>
    </row>
    <row r="5" spans="1:18" ht="28.5" x14ac:dyDescent="0.25">
      <c r="A5" t="s">
        <v>248</v>
      </c>
      <c r="B5" t="s">
        <v>249</v>
      </c>
      <c r="C5">
        <v>155575.93000000002</v>
      </c>
      <c r="D5" s="47"/>
      <c r="E5" s="6"/>
      <c r="F5" s="6"/>
      <c r="P5" s="109"/>
      <c r="Q5" s="99"/>
      <c r="R5" s="110"/>
    </row>
    <row r="6" spans="1:18" ht="28.5" x14ac:dyDescent="0.25">
      <c r="A6" t="s">
        <v>250</v>
      </c>
      <c r="B6" t="s">
        <v>251</v>
      </c>
      <c r="C6">
        <v>621259.51</v>
      </c>
      <c r="D6" s="47"/>
      <c r="E6" s="6"/>
      <c r="F6" s="6"/>
      <c r="P6" s="109"/>
      <c r="Q6" s="99"/>
      <c r="R6" s="110"/>
    </row>
    <row r="7" spans="1:18" x14ac:dyDescent="0.25">
      <c r="A7" t="s">
        <v>252</v>
      </c>
      <c r="B7" t="s">
        <v>253</v>
      </c>
      <c r="C7">
        <v>7063.37</v>
      </c>
      <c r="D7" s="47"/>
      <c r="E7" s="6"/>
      <c r="F7" s="6"/>
      <c r="P7" s="109"/>
      <c r="Q7" s="99"/>
      <c r="R7" s="110"/>
    </row>
    <row r="8" spans="1:18" ht="28.5" x14ac:dyDescent="0.25">
      <c r="A8" t="s">
        <v>254</v>
      </c>
      <c r="B8" t="s">
        <v>255</v>
      </c>
      <c r="C8">
        <v>2.7</v>
      </c>
      <c r="D8" s="47"/>
      <c r="E8" s="6"/>
      <c r="F8" s="6"/>
      <c r="P8" s="109"/>
      <c r="Q8" s="99"/>
      <c r="R8" s="110"/>
    </row>
    <row r="9" spans="1:18" x14ac:dyDescent="0.25">
      <c r="A9" t="s">
        <v>256</v>
      </c>
      <c r="B9" t="s">
        <v>257</v>
      </c>
      <c r="C9">
        <v>7924.25</v>
      </c>
      <c r="D9" s="47"/>
      <c r="E9" s="6"/>
      <c r="F9" s="6"/>
      <c r="P9" s="109"/>
      <c r="Q9" s="99"/>
      <c r="R9" s="110"/>
    </row>
    <row r="10" spans="1:18" x14ac:dyDescent="0.25">
      <c r="A10" t="s">
        <v>258</v>
      </c>
      <c r="B10" t="s">
        <v>259</v>
      </c>
      <c r="C10">
        <v>9864.0180999999993</v>
      </c>
      <c r="D10" s="47"/>
      <c r="E10" s="6"/>
      <c r="F10" s="6"/>
      <c r="P10" s="109"/>
      <c r="Q10" s="99"/>
      <c r="R10" s="110"/>
    </row>
    <row r="11" spans="1:18" ht="42.75" x14ac:dyDescent="0.25">
      <c r="A11" t="s">
        <v>260</v>
      </c>
      <c r="B11" t="s">
        <v>261</v>
      </c>
      <c r="C11">
        <v>2191.965287</v>
      </c>
      <c r="D11" s="47"/>
      <c r="E11" s="6"/>
      <c r="F11" s="6"/>
      <c r="P11" s="109"/>
      <c r="Q11" s="99"/>
      <c r="R11" s="110"/>
    </row>
    <row r="12" spans="1:18" x14ac:dyDescent="0.25">
      <c r="A12" t="s">
        <v>262</v>
      </c>
      <c r="B12" t="s">
        <v>263</v>
      </c>
      <c r="C12">
        <v>6.3687500000000004</v>
      </c>
      <c r="D12" s="47"/>
      <c r="E12" s="6"/>
      <c r="F12" s="6"/>
      <c r="P12" s="109"/>
      <c r="Q12" s="99"/>
      <c r="R12" s="110"/>
    </row>
    <row r="13" spans="1:18" x14ac:dyDescent="0.25">
      <c r="A13">
        <v>10</v>
      </c>
      <c r="B13" t="s">
        <v>264</v>
      </c>
      <c r="C13">
        <v>103907.6681</v>
      </c>
      <c r="D13" s="90"/>
      <c r="E13" s="6"/>
      <c r="F13" s="6"/>
      <c r="P13" s="109"/>
      <c r="Q13" s="99"/>
      <c r="R13" s="110"/>
    </row>
    <row r="14" spans="1:18" ht="42.75" x14ac:dyDescent="0.25">
      <c r="A14">
        <v>11</v>
      </c>
      <c r="B14" t="s">
        <v>265</v>
      </c>
      <c r="C14">
        <v>3228.145</v>
      </c>
      <c r="D14" s="47"/>
      <c r="E14" s="6"/>
      <c r="F14" s="6"/>
      <c r="P14" s="109"/>
      <c r="Q14" s="99"/>
      <c r="R14" s="110"/>
    </row>
    <row r="15" spans="1:18" ht="28.5" x14ac:dyDescent="0.25">
      <c r="A15">
        <v>12</v>
      </c>
      <c r="B15" t="s">
        <v>266</v>
      </c>
      <c r="C15">
        <v>129691.48179000001</v>
      </c>
      <c r="D15" s="47"/>
      <c r="E15" s="6"/>
      <c r="F15" s="6"/>
      <c r="P15" s="109"/>
      <c r="Q15" s="99"/>
      <c r="R15" s="110"/>
    </row>
    <row r="16" spans="1:18" ht="28.5" x14ac:dyDescent="0.25">
      <c r="A16">
        <v>13</v>
      </c>
      <c r="B16" t="s">
        <v>267</v>
      </c>
      <c r="C16">
        <v>0</v>
      </c>
      <c r="D16" s="47"/>
      <c r="E16" s="6"/>
      <c r="F16" s="6"/>
      <c r="P16" s="109"/>
      <c r="Q16" s="99"/>
      <c r="R16" s="110"/>
    </row>
    <row r="17" spans="1:18" ht="28.5" x14ac:dyDescent="0.25">
      <c r="A17">
        <v>14</v>
      </c>
      <c r="B17" t="s">
        <v>268</v>
      </c>
      <c r="C17">
        <v>0</v>
      </c>
      <c r="D17" s="47"/>
      <c r="E17" s="6"/>
      <c r="F17" s="6"/>
      <c r="P17" s="109"/>
      <c r="Q17" s="99"/>
      <c r="R17" s="110"/>
    </row>
    <row r="18" spans="1:18" ht="42.75" x14ac:dyDescent="0.25">
      <c r="A18">
        <v>15</v>
      </c>
      <c r="B18" t="s">
        <v>269</v>
      </c>
      <c r="C18">
        <v>119616.82950000001</v>
      </c>
      <c r="D18" s="47"/>
      <c r="E18" s="6"/>
      <c r="F18" s="6"/>
      <c r="P18" s="109"/>
      <c r="Q18" s="99"/>
      <c r="R18" s="110"/>
    </row>
    <row r="19" spans="1:18" x14ac:dyDescent="0.25">
      <c r="A19">
        <v>16</v>
      </c>
      <c r="B19" t="s">
        <v>270</v>
      </c>
      <c r="C19">
        <v>53167.966999999997</v>
      </c>
      <c r="D19" s="47"/>
      <c r="E19" s="6"/>
      <c r="F19" s="6"/>
      <c r="P19" s="109"/>
      <c r="Q19" s="99"/>
      <c r="R19" s="110"/>
    </row>
    <row r="20" spans="1:18" ht="28.5" x14ac:dyDescent="0.25">
      <c r="A20">
        <v>17</v>
      </c>
      <c r="B20" t="s">
        <v>271</v>
      </c>
      <c r="C20">
        <v>930799.96273499995</v>
      </c>
      <c r="D20" s="90"/>
      <c r="E20" s="6"/>
      <c r="F20" s="6"/>
      <c r="P20" s="109"/>
      <c r="Q20" s="99"/>
      <c r="R20" s="110"/>
    </row>
    <row r="21" spans="1:18" ht="42.75" x14ac:dyDescent="0.25">
      <c r="A21">
        <v>18</v>
      </c>
      <c r="B21" t="s">
        <v>272</v>
      </c>
      <c r="C21">
        <v>16.401969999999999</v>
      </c>
      <c r="D21" s="47"/>
      <c r="E21" s="6"/>
      <c r="F21" s="6"/>
      <c r="P21" s="949"/>
      <c r="Q21" s="949"/>
      <c r="R21" s="111"/>
    </row>
    <row r="22" spans="1:18" ht="57" x14ac:dyDescent="0.25">
      <c r="A22">
        <v>19</v>
      </c>
      <c r="B22" t="s">
        <v>273</v>
      </c>
      <c r="C22">
        <v>280727.67600000004</v>
      </c>
      <c r="D22" s="47"/>
      <c r="E22" s="40"/>
      <c r="F22" s="40"/>
      <c r="P22" s="97"/>
      <c r="Q22" s="97"/>
      <c r="R22" s="97"/>
    </row>
    <row r="23" spans="1:18" ht="42.75" x14ac:dyDescent="0.25">
      <c r="A23">
        <v>20</v>
      </c>
      <c r="B23" t="s">
        <v>274</v>
      </c>
      <c r="C23">
        <v>581002.08035000006</v>
      </c>
      <c r="D23" s="48"/>
      <c r="E23" s="6"/>
      <c r="F23" s="40"/>
      <c r="P23" s="97"/>
      <c r="Q23" s="97"/>
      <c r="R23" s="97"/>
    </row>
    <row r="24" spans="1:18" ht="15.75" x14ac:dyDescent="0.25">
      <c r="A24" t="s">
        <v>136</v>
      </c>
      <c r="B24"/>
      <c r="C24">
        <f>SUM(C4:C23)</f>
        <v>3006046.3245819998</v>
      </c>
      <c r="E24" s="49"/>
      <c r="F24" s="6"/>
      <c r="P24" s="97"/>
      <c r="Q24" s="97"/>
      <c r="R24" s="97"/>
    </row>
    <row r="25" spans="1:18" x14ac:dyDescent="0.25">
      <c r="D25" s="50"/>
      <c r="P25" s="97"/>
      <c r="Q25" s="97"/>
      <c r="R25" s="97"/>
    </row>
  </sheetData>
  <sheetProtection selectLockedCells="1" selectUnlockedCells="1"/>
  <mergeCells count="4">
    <mergeCell ref="P21:Q21"/>
    <mergeCell ref="F3:M3"/>
    <mergeCell ref="P3:Q3"/>
    <mergeCell ref="F4:M4"/>
  </mergeCells>
  <phoneticPr fontId="33" type="noConversion"/>
  <hyperlinks>
    <hyperlink ref="E1" location="Índice!A1" display="ir a índice" xr:uid="{EF6D094B-D95B-4C31-8174-FA6112C69869}"/>
  </hyperlinks>
  <pageMargins left="0.75" right="0.75" top="0.2902777777777778" bottom="0.27013888888888887" header="0.51180555555555551" footer="0.51180555555555551"/>
  <pageSetup paperSize="9" firstPageNumber="0" orientation="portrait" horizontalDpi="300" verticalDpi="300"/>
  <headerFooter alignWithMargins="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0">
    <tabColor rgb="FFBF8B2E"/>
  </sheetPr>
  <dimension ref="A1:K24"/>
  <sheetViews>
    <sheetView zoomScale="118" zoomScaleNormal="118" workbookViewId="0">
      <selection activeCell="M1" sqref="M1"/>
    </sheetView>
  </sheetViews>
  <sheetFormatPr baseColWidth="10" defaultColWidth="9.140625" defaultRowHeight="12.75" x14ac:dyDescent="0.2"/>
  <cols>
    <col min="1" max="1" width="11.28515625" style="23" customWidth="1"/>
    <col min="2" max="2" width="14.28515625" style="23" customWidth="1"/>
    <col min="3" max="3" width="7.85546875" style="23" customWidth="1"/>
    <col min="4" max="4" width="18.85546875" style="23" customWidth="1"/>
    <col min="5" max="5" width="12.85546875" style="23" customWidth="1"/>
    <col min="6" max="6" width="12.7109375" style="23" customWidth="1"/>
    <col min="7" max="7" width="19.5703125" style="23" customWidth="1"/>
    <col min="8" max="8" width="30.140625" style="51" customWidth="1"/>
    <col min="9" max="9" width="19.42578125" style="51" customWidth="1"/>
    <col min="10" max="10" width="11.42578125" style="24" customWidth="1"/>
    <col min="11" max="11" width="11.5703125" style="25" customWidth="1"/>
    <col min="12" max="16384" width="9.140625" style="25"/>
  </cols>
  <sheetData>
    <row r="1" spans="1:11" x14ac:dyDescent="0.2">
      <c r="A1" s="555" t="s">
        <v>1135</v>
      </c>
      <c r="E1" s="942" t="s">
        <v>1230</v>
      </c>
    </row>
    <row r="2" spans="1:11" x14ac:dyDescent="0.2">
      <c r="A2" s="555" t="s">
        <v>1136</v>
      </c>
    </row>
    <row r="3" spans="1:11" ht="14.25" x14ac:dyDescent="0.25">
      <c r="A3" t="s">
        <v>275</v>
      </c>
      <c r="B3" t="s">
        <v>276</v>
      </c>
      <c r="C3" s="25"/>
      <c r="D3" t="s">
        <v>277</v>
      </c>
      <c r="E3" t="s">
        <v>276</v>
      </c>
      <c r="F3" t="s">
        <v>317</v>
      </c>
      <c r="G3" s="112"/>
      <c r="H3" s="112"/>
      <c r="I3" s="112"/>
      <c r="J3" s="112"/>
      <c r="K3" s="112"/>
    </row>
    <row r="4" spans="1:11" ht="14.25" x14ac:dyDescent="0.25">
      <c r="A4" t="s">
        <v>246</v>
      </c>
      <c r="B4">
        <v>0</v>
      </c>
      <c r="C4" s="54"/>
      <c r="D4" t="s">
        <v>1128</v>
      </c>
      <c r="E4">
        <f>B20</f>
        <v>930799.96273499995</v>
      </c>
      <c r="F4" s="735">
        <f t="shared" ref="F4:F12" si="0">E4/$E$12</f>
        <v>0.30964258771508807</v>
      </c>
      <c r="G4" s="113"/>
      <c r="H4" s="113"/>
      <c r="I4" s="113"/>
      <c r="J4" s="112"/>
      <c r="K4" s="112"/>
    </row>
    <row r="5" spans="1:11" ht="14.25" x14ac:dyDescent="0.25">
      <c r="A5" t="s">
        <v>248</v>
      </c>
      <c r="B5">
        <v>155575.93000000002</v>
      </c>
      <c r="C5" s="54"/>
      <c r="D5" t="s">
        <v>1129</v>
      </c>
      <c r="E5">
        <f>B6</f>
        <v>621259.51</v>
      </c>
      <c r="F5" s="735">
        <f t="shared" si="0"/>
        <v>0.2066699720891321</v>
      </c>
      <c r="G5" s="114"/>
      <c r="H5" s="115"/>
      <c r="I5" s="114"/>
      <c r="J5" s="112"/>
      <c r="K5" s="112"/>
    </row>
    <row r="6" spans="1:11" ht="54.75" customHeight="1" x14ac:dyDescent="0.25">
      <c r="A6" t="s">
        <v>250</v>
      </c>
      <c r="B6">
        <v>621259.51</v>
      </c>
      <c r="C6" s="54"/>
      <c r="D6" t="s">
        <v>1130</v>
      </c>
      <c r="E6">
        <f>B23</f>
        <v>581002.08035000006</v>
      </c>
      <c r="F6" s="735">
        <f t="shared" si="0"/>
        <v>0.19327781997198271</v>
      </c>
      <c r="G6" s="116"/>
      <c r="H6" s="117"/>
      <c r="I6" s="116"/>
      <c r="J6" s="112"/>
      <c r="K6" s="112"/>
    </row>
    <row r="7" spans="1:11" ht="14.25" x14ac:dyDescent="0.25">
      <c r="A7" t="s">
        <v>252</v>
      </c>
      <c r="B7">
        <v>7063.37</v>
      </c>
      <c r="C7" s="54"/>
      <c r="D7" t="s">
        <v>1131</v>
      </c>
      <c r="E7">
        <f>B22</f>
        <v>280727.67600000004</v>
      </c>
      <c r="F7" s="735">
        <f t="shared" si="0"/>
        <v>9.3387674602465123E-2</v>
      </c>
      <c r="G7" s="116"/>
      <c r="H7" s="117"/>
      <c r="I7" s="116"/>
      <c r="J7" s="112"/>
      <c r="K7" s="112"/>
    </row>
    <row r="8" spans="1:11" ht="14.25" x14ac:dyDescent="0.25">
      <c r="A8" t="s">
        <v>254</v>
      </c>
      <c r="B8">
        <v>2.7</v>
      </c>
      <c r="C8" s="54"/>
      <c r="D8" t="s">
        <v>1132</v>
      </c>
      <c r="E8">
        <f>B5</f>
        <v>155575.93000000002</v>
      </c>
      <c r="F8" s="735">
        <f t="shared" si="0"/>
        <v>5.1754335496354449E-2</v>
      </c>
      <c r="G8" s="25"/>
      <c r="H8" s="25"/>
      <c r="I8" s="25"/>
      <c r="J8" s="25"/>
    </row>
    <row r="9" spans="1:11" ht="14.25" x14ac:dyDescent="0.25">
      <c r="A9" t="s">
        <v>256</v>
      </c>
      <c r="B9">
        <v>7924.25</v>
      </c>
      <c r="C9" s="54"/>
      <c r="D9" t="s">
        <v>1133</v>
      </c>
      <c r="E9">
        <f>B15</f>
        <v>129691.48179000001</v>
      </c>
      <c r="F9" s="735">
        <f t="shared" si="0"/>
        <v>4.3143540646544763E-2</v>
      </c>
      <c r="G9" s="953"/>
      <c r="H9" s="953"/>
      <c r="I9" s="953"/>
      <c r="J9" s="25"/>
    </row>
    <row r="10" spans="1:11" ht="16.5" customHeight="1" x14ac:dyDescent="0.25">
      <c r="A10" t="s">
        <v>258</v>
      </c>
      <c r="B10">
        <v>9864.0180999999993</v>
      </c>
      <c r="C10" s="54"/>
      <c r="D10" t="s">
        <v>1134</v>
      </c>
      <c r="E10">
        <f>B18</f>
        <v>119616.82950000001</v>
      </c>
      <c r="F10" s="735">
        <f t="shared" si="0"/>
        <v>3.9792077893754052E-2</v>
      </c>
    </row>
    <row r="11" spans="1:11" ht="14.25" x14ac:dyDescent="0.25">
      <c r="A11" t="s">
        <v>260</v>
      </c>
      <c r="B11">
        <v>2191.965287</v>
      </c>
      <c r="C11" s="54"/>
      <c r="D11" t="s">
        <v>278</v>
      </c>
      <c r="E11">
        <f>B7+B9+B10+B11+B12+B13+B14+B19+B21</f>
        <v>187370.15420699999</v>
      </c>
      <c r="F11" s="735">
        <f t="shared" si="0"/>
        <v>6.2331093394927768E-2</v>
      </c>
    </row>
    <row r="12" spans="1:11" ht="14.25" x14ac:dyDescent="0.25">
      <c r="A12" t="s">
        <v>262</v>
      </c>
      <c r="B12">
        <v>6.3687500000000004</v>
      </c>
      <c r="C12" s="54"/>
      <c r="D12" t="s">
        <v>136</v>
      </c>
      <c r="E12">
        <f>B24</f>
        <v>3006046.3245819998</v>
      </c>
      <c r="F12" s="735">
        <f t="shared" si="0"/>
        <v>1</v>
      </c>
    </row>
    <row r="13" spans="1:11" ht="14.25" x14ac:dyDescent="0.25">
      <c r="A13">
        <v>10</v>
      </c>
      <c r="B13">
        <v>103907.6681</v>
      </c>
      <c r="C13" s="54"/>
      <c r="F13" s="55"/>
      <c r="H13" s="266"/>
    </row>
    <row r="14" spans="1:11" ht="39.75" customHeight="1" x14ac:dyDescent="0.25">
      <c r="A14">
        <v>11</v>
      </c>
      <c r="B14">
        <v>3228.145</v>
      </c>
      <c r="C14" s="54"/>
      <c r="D14" s="54"/>
    </row>
    <row r="15" spans="1:11" ht="14.25" x14ac:dyDescent="0.25">
      <c r="A15">
        <v>12</v>
      </c>
      <c r="B15">
        <v>129691.48179000001</v>
      </c>
      <c r="C15" s="54"/>
      <c r="D15" s="54"/>
    </row>
    <row r="16" spans="1:11" ht="14.25" x14ac:dyDescent="0.25">
      <c r="A16">
        <v>13</v>
      </c>
      <c r="B16">
        <v>0</v>
      </c>
      <c r="C16" s="54"/>
      <c r="D16" s="54"/>
    </row>
    <row r="17" spans="1:10" ht="14.25" x14ac:dyDescent="0.25">
      <c r="A17">
        <v>14</v>
      </c>
      <c r="B17">
        <v>0</v>
      </c>
      <c r="C17" s="54"/>
      <c r="D17" s="54"/>
      <c r="E17" s="25"/>
      <c r="F17" s="25"/>
      <c r="H17" s="56"/>
      <c r="I17" s="56"/>
      <c r="J17" s="25"/>
    </row>
    <row r="18" spans="1:10" ht="14.25" x14ac:dyDescent="0.25">
      <c r="A18">
        <v>15</v>
      </c>
      <c r="B18">
        <v>119616.82950000001</v>
      </c>
      <c r="C18" s="54"/>
      <c r="D18" s="54"/>
    </row>
    <row r="19" spans="1:10" ht="14.25" x14ac:dyDescent="0.25">
      <c r="A19">
        <v>16</v>
      </c>
      <c r="B19">
        <v>53167.966999999997</v>
      </c>
      <c r="C19" s="54"/>
      <c r="D19" s="54"/>
      <c r="E19" s="25"/>
      <c r="F19" s="25"/>
      <c r="H19" s="57"/>
      <c r="J19" s="25"/>
    </row>
    <row r="20" spans="1:10" ht="14.25" x14ac:dyDescent="0.25">
      <c r="A20">
        <v>17</v>
      </c>
      <c r="B20">
        <v>930799.96273499995</v>
      </c>
      <c r="C20" s="54"/>
      <c r="D20" s="54"/>
    </row>
    <row r="21" spans="1:10" ht="14.25" x14ac:dyDescent="0.25">
      <c r="A21">
        <v>18</v>
      </c>
      <c r="B21">
        <v>16.401969999999999</v>
      </c>
      <c r="C21" s="54"/>
      <c r="D21" s="54"/>
    </row>
    <row r="22" spans="1:10" ht="14.25" x14ac:dyDescent="0.25">
      <c r="A22">
        <v>19</v>
      </c>
      <c r="B22">
        <v>280727.67600000004</v>
      </c>
      <c r="C22" s="54"/>
      <c r="D22" s="54"/>
    </row>
    <row r="23" spans="1:10" ht="15" customHeight="1" x14ac:dyDescent="0.25">
      <c r="A23">
        <v>20</v>
      </c>
      <c r="B23">
        <v>581002.08035000006</v>
      </c>
      <c r="C23" s="54"/>
      <c r="D23" s="54"/>
    </row>
    <row r="24" spans="1:10" ht="13.5" customHeight="1" x14ac:dyDescent="0.25">
      <c r="A24" t="s">
        <v>136</v>
      </c>
      <c r="B24">
        <f>SUM(B4:B23)</f>
        <v>3006046.3245819998</v>
      </c>
      <c r="C24" s="46"/>
    </row>
  </sheetData>
  <sheetProtection selectLockedCells="1" selectUnlockedCells="1"/>
  <mergeCells count="1">
    <mergeCell ref="G9:I9"/>
  </mergeCells>
  <phoneticPr fontId="33" type="noConversion"/>
  <hyperlinks>
    <hyperlink ref="E1" location="Índice!A1" display="ir a índice" xr:uid="{3810C7BF-C2C3-43F3-B4AD-77FE5463FDE9}"/>
  </hyperlinks>
  <pageMargins left="0.75" right="0.75" top="1" bottom="1" header="0.51180555555555551" footer="0.51180555555555551"/>
  <pageSetup firstPageNumber="0" orientation="portrait" horizontalDpi="300" verticalDpi="300" r:id="rId1"/>
  <headerFooter alignWithMargins="0"/>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1">
    <tabColor rgb="FFBF8B2E"/>
    <pageSetUpPr fitToPage="1"/>
  </sheetPr>
  <dimension ref="A1:H17"/>
  <sheetViews>
    <sheetView zoomScale="115" zoomScaleNormal="115" workbookViewId="0">
      <selection activeCell="M1" sqref="M1"/>
    </sheetView>
  </sheetViews>
  <sheetFormatPr baseColWidth="10" defaultColWidth="9.140625" defaultRowHeight="12.75" x14ac:dyDescent="0.2"/>
  <cols>
    <col min="1" max="1" width="46.28515625" style="23" customWidth="1"/>
    <col min="2" max="2" width="11" style="23" customWidth="1"/>
    <col min="3" max="3" width="8.42578125" style="23" customWidth="1"/>
    <col min="4" max="4" width="34.140625" style="23" customWidth="1"/>
    <col min="5" max="5" width="12.85546875" style="23" customWidth="1"/>
    <col min="6" max="6" width="10.5703125" style="51" customWidth="1"/>
    <col min="7" max="7" width="11.28515625" style="51" customWidth="1"/>
    <col min="8" max="8" width="11.42578125" style="24" customWidth="1"/>
    <col min="9" max="9" width="11.5703125" style="25" customWidth="1"/>
    <col min="10" max="16384" width="9.140625" style="25"/>
  </cols>
  <sheetData>
    <row r="1" spans="1:8" x14ac:dyDescent="0.2">
      <c r="A1" s="555" t="s">
        <v>1137</v>
      </c>
      <c r="B1" s="25"/>
      <c r="C1" s="25"/>
      <c r="D1" s="26"/>
      <c r="E1" s="942" t="s">
        <v>1230</v>
      </c>
      <c r="F1" s="25"/>
    </row>
    <row r="2" spans="1:8" x14ac:dyDescent="0.2">
      <c r="A2" s="734" t="s">
        <v>1136</v>
      </c>
      <c r="B2" s="30"/>
      <c r="D2" s="53"/>
      <c r="E2" s="53"/>
      <c r="F2" s="53"/>
      <c r="G2" s="53"/>
      <c r="H2" s="58"/>
    </row>
    <row r="3" spans="1:8" ht="30" customHeight="1" x14ac:dyDescent="0.25">
      <c r="A3" t="s">
        <v>1008</v>
      </c>
      <c r="B3" t="s">
        <v>1009</v>
      </c>
      <c r="C3" s="27"/>
      <c r="D3" s="27"/>
      <c r="E3" s="27"/>
      <c r="F3" s="53"/>
      <c r="G3" s="53"/>
    </row>
    <row r="4" spans="1:8" ht="14.25" x14ac:dyDescent="0.25">
      <c r="A4" t="s">
        <v>279</v>
      </c>
      <c r="B4">
        <v>229</v>
      </c>
      <c r="C4" s="27"/>
      <c r="D4" s="27"/>
      <c r="E4" s="27"/>
    </row>
    <row r="5" spans="1:8" ht="28.5" x14ac:dyDescent="0.25">
      <c r="A5" t="s">
        <v>280</v>
      </c>
      <c r="B5">
        <v>357</v>
      </c>
      <c r="C5" s="27"/>
      <c r="D5" s="27"/>
      <c r="E5" s="27"/>
    </row>
    <row r="6" spans="1:8" ht="28.5" x14ac:dyDescent="0.25">
      <c r="A6" t="s">
        <v>281</v>
      </c>
      <c r="B6">
        <v>10</v>
      </c>
      <c r="C6" s="27"/>
      <c r="D6" s="27"/>
      <c r="E6" s="27"/>
      <c r="F6" s="53"/>
      <c r="G6" s="53"/>
    </row>
    <row r="7" spans="1:8" ht="14.25" x14ac:dyDescent="0.25">
      <c r="A7" t="s">
        <v>282</v>
      </c>
      <c r="B7">
        <v>52</v>
      </c>
      <c r="C7" s="27"/>
      <c r="D7" s="27"/>
      <c r="E7" s="27"/>
      <c r="F7" s="53"/>
      <c r="G7" s="53"/>
    </row>
    <row r="8" spans="1:8" ht="14.25" x14ac:dyDescent="0.25">
      <c r="A8" t="s">
        <v>283</v>
      </c>
      <c r="B8">
        <v>140</v>
      </c>
      <c r="C8" s="27"/>
      <c r="D8" s="27"/>
      <c r="E8" s="27"/>
      <c r="F8" s="53"/>
      <c r="G8" s="53"/>
    </row>
    <row r="9" spans="1:8" ht="14.25" x14ac:dyDescent="0.25">
      <c r="A9" t="s">
        <v>284</v>
      </c>
      <c r="B9">
        <v>716</v>
      </c>
      <c r="C9" s="27"/>
      <c r="D9" s="27"/>
      <c r="E9" s="27"/>
      <c r="F9" s="53"/>
      <c r="G9" s="53"/>
    </row>
    <row r="10" spans="1:8" ht="14.25" x14ac:dyDescent="0.25">
      <c r="A10" t="s">
        <v>285</v>
      </c>
      <c r="B10">
        <v>901</v>
      </c>
      <c r="D10" s="27"/>
      <c r="E10" s="52"/>
    </row>
    <row r="11" spans="1:8" x14ac:dyDescent="0.2">
      <c r="A11" s="23" t="s">
        <v>286</v>
      </c>
      <c r="D11" s="27"/>
      <c r="E11" s="52"/>
      <c r="F11" s="53"/>
      <c r="G11" s="53"/>
    </row>
    <row r="12" spans="1:8" x14ac:dyDescent="0.2">
      <c r="A12" s="52"/>
    </row>
    <row r="17" spans="4:4" x14ac:dyDescent="0.2">
      <c r="D17" s="177"/>
    </row>
  </sheetData>
  <sheetProtection selectLockedCells="1" selectUnlockedCells="1"/>
  <phoneticPr fontId="33" type="noConversion"/>
  <hyperlinks>
    <hyperlink ref="E1" location="Índice!A1" display="ir a índice" xr:uid="{DB69825A-FBDC-4997-A99E-4A1C5BB34814}"/>
  </hyperlinks>
  <pageMargins left="0.75" right="0.75" top="0.6" bottom="1" header="0.51180555555555551" footer="0.51180555555555551"/>
  <pageSetup paperSize="9" firstPageNumber="0" orientation="landscape" horizontalDpi="300" verticalDpi="300"/>
  <headerFooter alignWithMargins="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2">
    <tabColor rgb="FFBF8B2E"/>
    <pageSetUpPr fitToPage="1"/>
  </sheetPr>
  <dimension ref="A1:K9"/>
  <sheetViews>
    <sheetView workbookViewId="0">
      <selection activeCell="M1" sqref="M1"/>
    </sheetView>
  </sheetViews>
  <sheetFormatPr baseColWidth="10" defaultColWidth="11.42578125" defaultRowHeight="14.25" x14ac:dyDescent="0.25"/>
  <cols>
    <col min="1" max="1" width="54.42578125" style="6" bestFit="1" customWidth="1"/>
    <col min="2" max="2" width="16.42578125" style="6" customWidth="1"/>
    <col min="3" max="3" width="18" style="6" customWidth="1"/>
    <col min="4" max="4" width="14.7109375" style="6" customWidth="1"/>
    <col min="5" max="5" width="12.85546875" style="6" customWidth="1"/>
    <col min="6" max="6" width="11.7109375" style="6" customWidth="1"/>
    <col min="7" max="16384" width="11.42578125" style="6"/>
  </cols>
  <sheetData>
    <row r="1" spans="1:11" x14ac:dyDescent="0.25">
      <c r="A1" s="738" t="s">
        <v>1139</v>
      </c>
      <c r="E1" s="942" t="s">
        <v>1230</v>
      </c>
    </row>
    <row r="2" spans="1:11" x14ac:dyDescent="0.25">
      <c r="A2" s="738" t="s">
        <v>298</v>
      </c>
    </row>
    <row r="3" spans="1:11" ht="40.5" customHeight="1" x14ac:dyDescent="0.25">
      <c r="A3" t="s">
        <v>287</v>
      </c>
      <c r="B3" t="s">
        <v>1138</v>
      </c>
      <c r="C3" t="s">
        <v>288</v>
      </c>
      <c r="D3" s="91"/>
      <c r="E3" s="91"/>
      <c r="F3" s="97"/>
      <c r="G3" s="97"/>
      <c r="H3" s="97"/>
      <c r="I3" s="97"/>
      <c r="J3" s="98"/>
      <c r="K3" s="98"/>
    </row>
    <row r="4" spans="1:11" ht="43.15" customHeight="1" x14ac:dyDescent="0.25">
      <c r="A4" t="s">
        <v>289</v>
      </c>
      <c r="B4" t="s">
        <v>290</v>
      </c>
      <c r="C4">
        <v>2761790.7383819995</v>
      </c>
      <c r="D4" s="224"/>
      <c r="E4" s="225"/>
      <c r="F4" s="98"/>
      <c r="G4" s="98"/>
      <c r="H4" s="98"/>
      <c r="I4" s="98"/>
      <c r="J4" s="98"/>
      <c r="K4" s="98"/>
    </row>
    <row r="5" spans="1:11" ht="43.15" customHeight="1" x14ac:dyDescent="0.25">
      <c r="A5" t="s">
        <v>291</v>
      </c>
      <c r="B5" t="s">
        <v>292</v>
      </c>
      <c r="C5">
        <v>4526540.5075000059</v>
      </c>
      <c r="D5" s="92"/>
      <c r="E5" s="91"/>
    </row>
    <row r="6" spans="1:11" ht="43.15" customHeight="1" x14ac:dyDescent="0.25">
      <c r="A6" t="s">
        <v>293</v>
      </c>
      <c r="B6" t="s">
        <v>294</v>
      </c>
      <c r="C6">
        <v>244255.58620000005</v>
      </c>
      <c r="D6" s="92"/>
      <c r="E6" s="91"/>
    </row>
    <row r="7" spans="1:11" ht="43.15" customHeight="1" x14ac:dyDescent="0.25">
      <c r="A7"/>
      <c r="B7" t="s">
        <v>295</v>
      </c>
      <c r="C7">
        <v>358484.60717799992</v>
      </c>
      <c r="D7" s="92"/>
      <c r="E7" s="91"/>
    </row>
    <row r="8" spans="1:11" ht="24.75" customHeight="1" x14ac:dyDescent="0.25">
      <c r="A8" t="s">
        <v>296</v>
      </c>
      <c r="B8"/>
      <c r="C8">
        <v>3006046.3245819998</v>
      </c>
      <c r="D8" s="92"/>
      <c r="E8" s="91"/>
      <c r="F8" s="60"/>
    </row>
    <row r="9" spans="1:11" ht="28.5" x14ac:dyDescent="0.25">
      <c r="A9" t="s">
        <v>297</v>
      </c>
      <c r="B9"/>
      <c r="C9">
        <v>7288331.2458820054</v>
      </c>
      <c r="D9" s="92"/>
      <c r="E9" s="91"/>
    </row>
  </sheetData>
  <sheetProtection selectLockedCells="1" selectUnlockedCells="1"/>
  <phoneticPr fontId="33" type="noConversion"/>
  <hyperlinks>
    <hyperlink ref="E1" location="Índice!A1" display="ir a índice" xr:uid="{50D01EF8-B5D7-475E-841F-453A9783E429}"/>
  </hyperlinks>
  <pageMargins left="0.7" right="0.7" top="0.4597222222222222" bottom="0.75" header="0.51180555555555551" footer="0.51180555555555551"/>
  <pageSetup paperSize="9" firstPageNumber="0" orientation="portrait" horizontalDpi="300" verticalDpi="300" r:id="rId1"/>
  <headerFooter alignWithMargins="0"/>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rgb="FFBF8B2E"/>
    <pageSetUpPr fitToPage="1"/>
  </sheetPr>
  <dimension ref="A1:S32"/>
  <sheetViews>
    <sheetView workbookViewId="0">
      <selection activeCell="M1" sqref="M1"/>
    </sheetView>
  </sheetViews>
  <sheetFormatPr baseColWidth="10" defaultColWidth="11.42578125" defaultRowHeight="14.25" x14ac:dyDescent="0.25"/>
  <cols>
    <col min="1" max="1" width="21.5703125" style="6" customWidth="1"/>
    <col min="2" max="4" width="8.7109375" style="6" customWidth="1"/>
    <col min="5" max="5" width="12.85546875" style="6" customWidth="1"/>
    <col min="6" max="12" width="8.7109375" style="6" customWidth="1"/>
    <col min="13" max="16384" width="11.42578125" style="6"/>
  </cols>
  <sheetData>
    <row r="1" spans="1:19" x14ac:dyDescent="0.25">
      <c r="A1" s="555" t="s">
        <v>1140</v>
      </c>
      <c r="E1" s="942" t="s">
        <v>1230</v>
      </c>
    </row>
    <row r="2" spans="1:19" x14ac:dyDescent="0.25">
      <c r="A2" s="555" t="s">
        <v>91</v>
      </c>
      <c r="C2" s="7"/>
      <c r="D2" s="2"/>
      <c r="E2" s="18"/>
    </row>
    <row r="3" spans="1:19" x14ac:dyDescent="0.25">
      <c r="A3" t="s">
        <v>1008</v>
      </c>
      <c r="B3" t="s">
        <v>1105</v>
      </c>
      <c r="C3" t="s">
        <v>1106</v>
      </c>
      <c r="D3" t="s">
        <v>1107</v>
      </c>
      <c r="E3" t="s">
        <v>1108</v>
      </c>
      <c r="F3" t="s">
        <v>1109</v>
      </c>
      <c r="G3" t="s">
        <v>1110</v>
      </c>
      <c r="H3" t="s">
        <v>1111</v>
      </c>
      <c r="I3" t="s">
        <v>1112</v>
      </c>
      <c r="J3" t="s">
        <v>1113</v>
      </c>
      <c r="K3" t="s">
        <v>1114</v>
      </c>
      <c r="L3" t="s">
        <v>1115</v>
      </c>
    </row>
    <row r="4" spans="1:19" ht="28.5" x14ac:dyDescent="0.25">
      <c r="A4" t="s">
        <v>299</v>
      </c>
      <c r="B4">
        <v>122781.29</v>
      </c>
      <c r="C4">
        <v>119476.48</v>
      </c>
      <c r="D4">
        <v>122639</v>
      </c>
      <c r="E4">
        <v>120900.2</v>
      </c>
      <c r="F4">
        <v>127223.44</v>
      </c>
      <c r="G4">
        <v>126796.67</v>
      </c>
      <c r="H4">
        <v>125626.73000000001</v>
      </c>
      <c r="I4">
        <v>128499.14000000001</v>
      </c>
      <c r="J4">
        <v>120568.84000000001</v>
      </c>
      <c r="K4">
        <v>131655.57000000004</v>
      </c>
      <c r="L4">
        <v>131290.39000000001</v>
      </c>
    </row>
    <row r="5" spans="1:19" ht="28.5" x14ac:dyDescent="0.25">
      <c r="A5" t="s">
        <v>300</v>
      </c>
      <c r="B5">
        <v>27394.63</v>
      </c>
      <c r="C5">
        <v>26659.98</v>
      </c>
      <c r="D5">
        <v>27474.7</v>
      </c>
      <c r="E5">
        <v>26495.4</v>
      </c>
      <c r="F5">
        <v>27358.37</v>
      </c>
      <c r="G5">
        <v>26892.12</v>
      </c>
      <c r="H5">
        <v>27168.93</v>
      </c>
      <c r="I5">
        <v>27794.878264000003</v>
      </c>
      <c r="J5">
        <v>26031.000000000004</v>
      </c>
      <c r="K5">
        <v>28733.55</v>
      </c>
      <c r="L5">
        <v>28479.897104000003</v>
      </c>
    </row>
    <row r="6" spans="1:19" x14ac:dyDescent="0.25">
      <c r="A6" t="s">
        <v>301</v>
      </c>
      <c r="B6" s="735">
        <f>B5/B4</f>
        <v>0.22311730068970609</v>
      </c>
      <c r="C6" s="735">
        <f>C5/C4</f>
        <v>0.22313998537620125</v>
      </c>
      <c r="D6" s="735">
        <f>D5/D4</f>
        <v>0.22402906090232308</v>
      </c>
      <c r="E6" s="735">
        <v>0.21915100223159267</v>
      </c>
      <c r="F6" s="735">
        <f t="shared" ref="F6:L6" si="0">F5/F4</f>
        <v>0.21504189793956208</v>
      </c>
      <c r="G6" s="735">
        <f t="shared" si="0"/>
        <v>0.21208853513266554</v>
      </c>
      <c r="H6" s="735">
        <f t="shared" si="0"/>
        <v>0.21626711130664628</v>
      </c>
      <c r="I6" s="735">
        <f t="shared" si="0"/>
        <v>0.21630400222133783</v>
      </c>
      <c r="J6" s="735">
        <f t="shared" si="0"/>
        <v>0.21590155466370914</v>
      </c>
      <c r="K6" s="735">
        <f t="shared" si="0"/>
        <v>0.21824788727130945</v>
      </c>
      <c r="L6" s="735">
        <f t="shared" si="0"/>
        <v>0.21692293780222605</v>
      </c>
      <c r="M6" s="95"/>
      <c r="N6" s="95"/>
      <c r="O6" s="95"/>
      <c r="P6" s="95"/>
      <c r="Q6" s="95"/>
      <c r="R6" s="95"/>
      <c r="S6" s="95"/>
    </row>
    <row r="7" spans="1:19" x14ac:dyDescent="0.25">
      <c r="A7" t="s">
        <v>302</v>
      </c>
      <c r="B7"/>
      <c r="C7"/>
      <c r="D7">
        <v>346317.5</v>
      </c>
      <c r="E7">
        <v>361685.5</v>
      </c>
      <c r="F7">
        <v>367565.42</v>
      </c>
      <c r="G7">
        <v>387621</v>
      </c>
      <c r="H7">
        <v>411069.03</v>
      </c>
      <c r="I7">
        <v>404490.98000000004</v>
      </c>
      <c r="J7">
        <v>435201.71999999991</v>
      </c>
      <c r="K7">
        <v>426223.95</v>
      </c>
      <c r="L7">
        <v>409507.65000000008</v>
      </c>
      <c r="M7" s="95"/>
      <c r="N7" s="95"/>
      <c r="O7" s="95"/>
      <c r="P7" s="95"/>
      <c r="Q7" s="95"/>
      <c r="R7" s="95"/>
      <c r="S7" s="95"/>
    </row>
    <row r="8" spans="1:19" x14ac:dyDescent="0.25">
      <c r="D8" s="39"/>
      <c r="E8" s="39"/>
      <c r="J8" s="94"/>
      <c r="K8" s="95"/>
      <c r="L8" s="95"/>
      <c r="M8" s="95"/>
      <c r="N8" s="95"/>
      <c r="O8" s="95"/>
      <c r="P8" s="95"/>
      <c r="Q8" s="95"/>
      <c r="R8" s="95"/>
      <c r="S8" s="95"/>
    </row>
    <row r="18" spans="2:12" x14ac:dyDescent="0.25">
      <c r="I18" s="94"/>
      <c r="J18" s="95"/>
      <c r="K18" s="95"/>
      <c r="L18" s="95"/>
    </row>
    <row r="32" spans="2:12" x14ac:dyDescent="0.25">
      <c r="B32" s="5"/>
    </row>
  </sheetData>
  <sheetProtection selectLockedCells="1" selectUnlockedCells="1"/>
  <phoneticPr fontId="33" type="noConversion"/>
  <hyperlinks>
    <hyperlink ref="E1" location="Índice!A1" display="ir a índice" xr:uid="{CCAE15B0-4DC3-44BD-8396-48093A1095CD}"/>
  </hyperlinks>
  <pageMargins left="0.75" right="0.75" top="1" bottom="1" header="0.51180555555555551" footer="0.51180555555555551"/>
  <pageSetup paperSize="9" scale="78" firstPageNumber="0" orientation="portrait" horizontalDpi="300" verticalDpi="300"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E199-9678-42B6-9362-431D939F97E9}">
  <sheetPr>
    <tabColor rgb="FFBF8B2E"/>
  </sheetPr>
  <dimension ref="A1:F15"/>
  <sheetViews>
    <sheetView workbookViewId="0">
      <selection activeCell="M1" sqref="M1"/>
    </sheetView>
  </sheetViews>
  <sheetFormatPr baseColWidth="10" defaultRowHeight="14.25" x14ac:dyDescent="0.25"/>
  <cols>
    <col min="2" max="2" width="48.28515625" customWidth="1"/>
    <col min="3" max="3" width="22.5703125" customWidth="1"/>
    <col min="4" max="4" width="48.5703125" customWidth="1"/>
    <col min="5" max="5" width="12.85546875" customWidth="1"/>
    <col min="6" max="6" width="31.85546875" customWidth="1"/>
  </cols>
  <sheetData>
    <row r="1" spans="1:6" x14ac:dyDescent="0.25">
      <c r="A1" s="555" t="s">
        <v>1041</v>
      </c>
      <c r="E1" s="942" t="s">
        <v>1230</v>
      </c>
    </row>
    <row r="2" spans="1:6" x14ac:dyDescent="0.25">
      <c r="A2" s="555" t="s">
        <v>26</v>
      </c>
    </row>
    <row r="3" spans="1:6" ht="42" customHeight="1" x14ac:dyDescent="0.25">
      <c r="A3" s="553" t="s">
        <v>452</v>
      </c>
      <c r="B3" s="553" t="s">
        <v>1014</v>
      </c>
      <c r="C3" s="553" t="s">
        <v>1015</v>
      </c>
      <c r="D3" s="553" t="s">
        <v>1016</v>
      </c>
      <c r="E3" s="553" t="s">
        <v>1017</v>
      </c>
      <c r="F3" s="553" t="s">
        <v>1018</v>
      </c>
    </row>
    <row r="4" spans="1:6" ht="21" customHeight="1" x14ac:dyDescent="0.25">
      <c r="A4" s="554">
        <v>2012</v>
      </c>
      <c r="B4" s="560">
        <v>4314515</v>
      </c>
      <c r="C4" s="554" t="s">
        <v>1019</v>
      </c>
      <c r="D4" s="560">
        <v>2561944</v>
      </c>
      <c r="E4" s="554" t="s">
        <v>1020</v>
      </c>
      <c r="F4" s="554">
        <v>40.619999999999997</v>
      </c>
    </row>
    <row r="5" spans="1:6" ht="21" customHeight="1" x14ac:dyDescent="0.25">
      <c r="A5" s="554">
        <v>2013</v>
      </c>
      <c r="B5" s="560">
        <v>3877865</v>
      </c>
      <c r="C5" s="554" t="s">
        <v>1021</v>
      </c>
      <c r="D5" s="560">
        <v>2523952</v>
      </c>
      <c r="E5" s="554" t="s">
        <v>1022</v>
      </c>
      <c r="F5" s="554">
        <v>34.909999999999997</v>
      </c>
    </row>
    <row r="6" spans="1:6" ht="21" customHeight="1" x14ac:dyDescent="0.25">
      <c r="A6" s="554">
        <v>2014</v>
      </c>
      <c r="B6" s="560">
        <v>4102018</v>
      </c>
      <c r="C6" s="554" t="s">
        <v>1023</v>
      </c>
      <c r="D6" s="560">
        <v>2388559</v>
      </c>
      <c r="E6" s="554" t="s">
        <v>1024</v>
      </c>
      <c r="F6" s="554">
        <v>41.77</v>
      </c>
    </row>
    <row r="7" spans="1:6" ht="21" customHeight="1" x14ac:dyDescent="0.25">
      <c r="A7" s="554">
        <v>2015</v>
      </c>
      <c r="B7" s="560">
        <v>4335284</v>
      </c>
      <c r="C7" s="554" t="s">
        <v>1025</v>
      </c>
      <c r="D7" s="560">
        <v>2571815</v>
      </c>
      <c r="E7" s="554" t="s">
        <v>1026</v>
      </c>
      <c r="F7" s="554">
        <v>40.68</v>
      </c>
    </row>
    <row r="8" spans="1:6" ht="21" customHeight="1" x14ac:dyDescent="0.25">
      <c r="A8" s="554">
        <v>2016</v>
      </c>
      <c r="B8" s="560">
        <v>3703266</v>
      </c>
      <c r="C8" s="554" t="s">
        <v>1027</v>
      </c>
      <c r="D8" s="560">
        <v>2473725</v>
      </c>
      <c r="E8" s="554" t="s">
        <v>1028</v>
      </c>
      <c r="F8" s="554">
        <v>33.200000000000003</v>
      </c>
    </row>
    <row r="9" spans="1:6" ht="21" customHeight="1" x14ac:dyDescent="0.25">
      <c r="A9" s="554">
        <v>2017</v>
      </c>
      <c r="B9" s="560">
        <v>4416289</v>
      </c>
      <c r="C9" s="554" t="s">
        <v>1029</v>
      </c>
      <c r="D9" s="560">
        <v>2629337</v>
      </c>
      <c r="E9" s="554" t="s">
        <v>1030</v>
      </c>
      <c r="F9" s="554">
        <v>40.46</v>
      </c>
    </row>
    <row r="10" spans="1:6" ht="21" customHeight="1" x14ac:dyDescent="0.25">
      <c r="A10" s="554">
        <v>2018</v>
      </c>
      <c r="B10" s="560">
        <v>3801798</v>
      </c>
      <c r="C10" s="554" t="s">
        <v>1031</v>
      </c>
      <c r="D10" s="560">
        <v>2597063</v>
      </c>
      <c r="E10" s="554" t="s">
        <v>1032</v>
      </c>
      <c r="F10" s="554">
        <v>31.69</v>
      </c>
    </row>
    <row r="11" spans="1:6" ht="21" customHeight="1" x14ac:dyDescent="0.25">
      <c r="A11" s="554">
        <v>2019</v>
      </c>
      <c r="B11" s="560">
        <v>3303921</v>
      </c>
      <c r="C11" s="554" t="s">
        <v>1033</v>
      </c>
      <c r="D11" s="560">
        <v>2687476</v>
      </c>
      <c r="E11" s="554" t="s">
        <v>1034</v>
      </c>
      <c r="F11" s="554">
        <v>18.66</v>
      </c>
    </row>
    <row r="12" spans="1:6" ht="21" customHeight="1" x14ac:dyDescent="0.25">
      <c r="A12" s="554">
        <v>2020</v>
      </c>
      <c r="B12" s="560">
        <v>2793174</v>
      </c>
      <c r="C12" s="554" t="s">
        <v>1035</v>
      </c>
      <c r="D12" s="560">
        <v>2641954</v>
      </c>
      <c r="E12" s="554" t="s">
        <v>1036</v>
      </c>
      <c r="F12" s="554">
        <v>5.41</v>
      </c>
    </row>
    <row r="13" spans="1:6" ht="21" customHeight="1" x14ac:dyDescent="0.25">
      <c r="A13" s="554">
        <v>2021</v>
      </c>
      <c r="B13" s="560">
        <v>2978287</v>
      </c>
      <c r="C13" s="554" t="s">
        <v>1037</v>
      </c>
      <c r="D13" s="560">
        <v>2918998</v>
      </c>
      <c r="E13" s="554" t="s">
        <v>1038</v>
      </c>
      <c r="F13" s="554">
        <v>1.99</v>
      </c>
    </row>
    <row r="14" spans="1:6" ht="21" customHeight="1" x14ac:dyDescent="0.25">
      <c r="A14" s="554">
        <v>2022</v>
      </c>
      <c r="B14" s="560">
        <v>3103809</v>
      </c>
      <c r="C14" s="554" t="s">
        <v>1039</v>
      </c>
      <c r="D14" s="560">
        <v>2999901</v>
      </c>
      <c r="E14" s="554" t="s">
        <v>1040</v>
      </c>
      <c r="F14" s="554">
        <v>3.35</v>
      </c>
    </row>
    <row r="15" spans="1:6" x14ac:dyDescent="0.25">
      <c r="A15" s="554" t="s">
        <v>89</v>
      </c>
      <c r="B15" s="560">
        <f>SUBTOTAL(109,Tabla3[Residuos totales generados incluyendo cenizas en toneladas])</f>
        <v>40730226</v>
      </c>
      <c r="C15" s="554"/>
      <c r="D15" s="561">
        <f>SUBTOTAL(109,Tabla3[Residuos totales generados excluyendo cenizas en toneladas])</f>
        <v>28994724</v>
      </c>
      <c r="E15" s="554"/>
      <c r="F15" s="554"/>
    </row>
  </sheetData>
  <hyperlinks>
    <hyperlink ref="E1" location="Índice!A1" display="ir a índice" xr:uid="{D53DE8D2-A524-4C94-97F2-8EB8F37E7D36}"/>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4">
    <tabColor rgb="FFBF8B2E"/>
    <pageSetUpPr fitToPage="1"/>
  </sheetPr>
  <dimension ref="A1:G10"/>
  <sheetViews>
    <sheetView workbookViewId="0">
      <selection activeCell="M1" sqref="M1"/>
    </sheetView>
  </sheetViews>
  <sheetFormatPr baseColWidth="10" defaultColWidth="11.42578125" defaultRowHeight="14.25" x14ac:dyDescent="0.25"/>
  <cols>
    <col min="1" max="1" width="36.140625" style="6" customWidth="1"/>
    <col min="2" max="2" width="20.140625" style="6" customWidth="1"/>
    <col min="3" max="3" width="11.5703125" style="6" customWidth="1"/>
    <col min="4" max="4" width="13" style="6" customWidth="1"/>
    <col min="5" max="5" width="12.85546875" style="6" customWidth="1"/>
    <col min="6" max="6" width="23.85546875" style="6" customWidth="1"/>
    <col min="7" max="16384" width="11.42578125" style="6"/>
  </cols>
  <sheetData>
    <row r="1" spans="1:7" s="741" customFormat="1" x14ac:dyDescent="0.25">
      <c r="A1" s="555" t="s">
        <v>1141</v>
      </c>
      <c r="B1" s="740"/>
      <c r="E1" s="942" t="s">
        <v>1230</v>
      </c>
    </row>
    <row r="2" spans="1:7" s="741" customFormat="1" x14ac:dyDescent="0.25">
      <c r="A2" s="555" t="s">
        <v>91</v>
      </c>
      <c r="B2" s="742"/>
      <c r="C2" s="2"/>
      <c r="D2" s="2"/>
      <c r="E2" s="2"/>
      <c r="F2" s="16"/>
      <c r="G2" s="16"/>
    </row>
    <row r="3" spans="1:7" ht="39" customHeight="1" x14ac:dyDescent="0.25">
      <c r="A3" s="743" t="s">
        <v>1008</v>
      </c>
      <c r="B3" s="744" t="s">
        <v>304</v>
      </c>
      <c r="C3" s="744" t="s">
        <v>305</v>
      </c>
      <c r="D3" s="745" t="s">
        <v>306</v>
      </c>
      <c r="E3" s="745" t="s">
        <v>307</v>
      </c>
      <c r="F3" s="746" t="s">
        <v>136</v>
      </c>
    </row>
    <row r="4" spans="1:7" x14ac:dyDescent="0.25">
      <c r="A4" s="747" t="s">
        <v>308</v>
      </c>
      <c r="B4" s="748">
        <v>555.08000000000004</v>
      </c>
      <c r="C4" s="748">
        <v>17388</v>
      </c>
      <c r="D4" s="748">
        <v>9989.320000000007</v>
      </c>
      <c r="E4" s="748">
        <v>547.49710400000004</v>
      </c>
      <c r="F4" s="749">
        <f>SUM(B4:E4)</f>
        <v>28479.897104000011</v>
      </c>
    </row>
    <row r="5" spans="1:7" x14ac:dyDescent="0.25">
      <c r="A5" s="956" t="s">
        <v>309</v>
      </c>
      <c r="B5" s="960">
        <f>B4/$F$4</f>
        <v>1.9490238956026244E-2</v>
      </c>
      <c r="C5" s="960">
        <f>C4/$F$4</f>
        <v>0.61053591368340476</v>
      </c>
      <c r="D5" s="750">
        <f>D4/$F$4</f>
        <v>0.35074986273728509</v>
      </c>
      <c r="E5" s="750">
        <f>E4/$F$4</f>
        <v>1.9223984623283764E-2</v>
      </c>
      <c r="F5" s="958">
        <f>F4/$F$4</f>
        <v>1</v>
      </c>
    </row>
    <row r="6" spans="1:7" x14ac:dyDescent="0.25">
      <c r="A6" s="957"/>
      <c r="B6" s="961"/>
      <c r="C6" s="961"/>
      <c r="D6" s="962">
        <f>SUM(D5:E5)</f>
        <v>0.36997384736056887</v>
      </c>
      <c r="E6" s="963"/>
      <c r="F6" s="959"/>
    </row>
    <row r="7" spans="1:7" x14ac:dyDescent="0.25">
      <c r="A7" s="751" t="s">
        <v>310</v>
      </c>
      <c r="B7" s="752" t="s">
        <v>311</v>
      </c>
      <c r="C7" s="752" t="s">
        <v>312</v>
      </c>
      <c r="D7" s="954" t="s">
        <v>313</v>
      </c>
      <c r="E7" s="955"/>
      <c r="F7" s="753"/>
    </row>
    <row r="8" spans="1:7" ht="12.75" customHeight="1" x14ac:dyDescent="0.25">
      <c r="E8" s="16"/>
      <c r="F8" s="16"/>
    </row>
    <row r="10" spans="1:7" x14ac:dyDescent="0.25">
      <c r="A10" s="615"/>
    </row>
  </sheetData>
  <sheetProtection selectLockedCells="1" selectUnlockedCells="1"/>
  <mergeCells count="6">
    <mergeCell ref="D7:E7"/>
    <mergeCell ref="A5:A6"/>
    <mergeCell ref="F5:F6"/>
    <mergeCell ref="B5:B6"/>
    <mergeCell ref="C5:C6"/>
    <mergeCell ref="D6:E6"/>
  </mergeCells>
  <phoneticPr fontId="33" type="noConversion"/>
  <hyperlinks>
    <hyperlink ref="E1" location="Índice!A1" display="ir a índice" xr:uid="{C2C76CE0-FFEA-46DD-BBDA-8CF0C5EB87A2}"/>
  </hyperlinks>
  <pageMargins left="0.75" right="0.75" top="1" bottom="1" header="0.51180555555555551" footer="0.51180555555555551"/>
  <pageSetup paperSize="9" scale="90" firstPageNumber="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5">
    <tabColor rgb="FFBF8B2E"/>
    <pageSetUpPr fitToPage="1"/>
  </sheetPr>
  <dimension ref="A1:O7"/>
  <sheetViews>
    <sheetView workbookViewId="0">
      <selection activeCell="M1" sqref="M1"/>
    </sheetView>
  </sheetViews>
  <sheetFormatPr baseColWidth="10" defaultColWidth="11.42578125" defaultRowHeight="14.25" x14ac:dyDescent="0.25"/>
  <cols>
    <col min="1" max="1" width="11.42578125" style="755" customWidth="1"/>
    <col min="2" max="2" width="12.28515625" style="755" customWidth="1"/>
    <col min="3" max="4" width="11.42578125" style="755" customWidth="1"/>
    <col min="5" max="5" width="12.85546875" style="755" customWidth="1"/>
    <col min="6" max="6" width="11.42578125" style="755" customWidth="1"/>
    <col min="7" max="16384" width="11.42578125" style="755"/>
  </cols>
  <sheetData>
    <row r="1" spans="1:15" x14ac:dyDescent="0.25">
      <c r="A1" s="754" t="s">
        <v>1142</v>
      </c>
      <c r="E1" s="942" t="s">
        <v>1230</v>
      </c>
    </row>
    <row r="2" spans="1:15" ht="12.75" customHeight="1" x14ac:dyDescent="0.25">
      <c r="A2" s="754" t="s">
        <v>91</v>
      </c>
    </row>
    <row r="4" spans="1:15" x14ac:dyDescent="0.25">
      <c r="A4" s="755" t="s">
        <v>30</v>
      </c>
      <c r="B4" s="755" t="s">
        <v>1102</v>
      </c>
      <c r="C4" s="755" t="s">
        <v>1103</v>
      </c>
      <c r="D4" s="755" t="s">
        <v>1104</v>
      </c>
      <c r="E4" s="755" t="s">
        <v>1105</v>
      </c>
      <c r="F4" s="755" t="s">
        <v>1106</v>
      </c>
      <c r="G4" s="755" t="s">
        <v>1107</v>
      </c>
      <c r="H4" s="755" t="s">
        <v>1108</v>
      </c>
      <c r="I4" s="755" t="s">
        <v>1109</v>
      </c>
      <c r="J4" s="755" t="s">
        <v>1110</v>
      </c>
      <c r="K4" s="755" t="s">
        <v>1111</v>
      </c>
      <c r="L4" s="755" t="s">
        <v>1112</v>
      </c>
      <c r="M4" s="755" t="s">
        <v>1113</v>
      </c>
      <c r="N4" s="755" t="s">
        <v>1114</v>
      </c>
      <c r="O4" s="755" t="s">
        <v>1115</v>
      </c>
    </row>
    <row r="5" spans="1:15" x14ac:dyDescent="0.25">
      <c r="A5" s="755" t="s">
        <v>314</v>
      </c>
      <c r="B5" s="755">
        <v>183954.231</v>
      </c>
      <c r="C5" s="755">
        <v>370160.02299999999</v>
      </c>
      <c r="D5" s="755">
        <v>302154.58199999999</v>
      </c>
      <c r="E5" s="755">
        <v>169939.4</v>
      </c>
      <c r="F5" s="755">
        <v>169973.17</v>
      </c>
      <c r="G5" s="755">
        <v>162287.27000000002</v>
      </c>
      <c r="H5" s="755">
        <v>204379.94000000003</v>
      </c>
      <c r="I5" s="755">
        <v>239683.52</v>
      </c>
      <c r="J5" s="755">
        <v>396377.72</v>
      </c>
      <c r="K5" s="755">
        <v>536654.19999999995</v>
      </c>
      <c r="L5" s="755">
        <v>765957.57</v>
      </c>
      <c r="M5" s="755">
        <v>774119.34</v>
      </c>
      <c r="N5" s="755">
        <v>877780</v>
      </c>
      <c r="O5" s="755">
        <f>(870738120/1000)-55773.16</f>
        <v>814964.96</v>
      </c>
    </row>
    <row r="6" spans="1:15" x14ac:dyDescent="0.25">
      <c r="A6" s="755" t="s">
        <v>315</v>
      </c>
      <c r="B6" s="755">
        <v>0</v>
      </c>
      <c r="C6" s="755">
        <v>0</v>
      </c>
      <c r="D6" s="755">
        <v>0</v>
      </c>
      <c r="E6" s="755">
        <v>0</v>
      </c>
      <c r="F6" s="755">
        <v>695.58</v>
      </c>
      <c r="G6" s="755">
        <v>27113.360000000001</v>
      </c>
      <c r="H6" s="755">
        <v>9228.6200000000008</v>
      </c>
      <c r="I6" s="755">
        <v>17831.399999999998</v>
      </c>
      <c r="J6" s="755">
        <v>19689.86</v>
      </c>
      <c r="K6" s="755">
        <v>30300.38</v>
      </c>
      <c r="L6" s="755">
        <v>30801.99</v>
      </c>
      <c r="M6" s="755">
        <v>37141.699999999997</v>
      </c>
      <c r="N6" s="755">
        <v>43422</v>
      </c>
      <c r="O6" s="755">
        <f>55775000/1000</f>
        <v>55775</v>
      </c>
    </row>
    <row r="7" spans="1:15" x14ac:dyDescent="0.25">
      <c r="A7" s="755" t="s">
        <v>136</v>
      </c>
      <c r="B7" s="755">
        <f t="shared" ref="B7:O7" si="0">SUM(B5:B6)</f>
        <v>183954.231</v>
      </c>
      <c r="C7" s="755">
        <f t="shared" si="0"/>
        <v>370160.02299999999</v>
      </c>
      <c r="D7" s="755">
        <f t="shared" si="0"/>
        <v>302154.58199999999</v>
      </c>
      <c r="E7" s="755">
        <f t="shared" si="0"/>
        <v>169939.4</v>
      </c>
      <c r="F7" s="755">
        <f t="shared" si="0"/>
        <v>170668.75</v>
      </c>
      <c r="G7" s="755">
        <f t="shared" si="0"/>
        <v>189400.63</v>
      </c>
      <c r="H7" s="755">
        <f t="shared" si="0"/>
        <v>213608.56000000003</v>
      </c>
      <c r="I7" s="755">
        <f t="shared" si="0"/>
        <v>257514.91999999998</v>
      </c>
      <c r="J7" s="755">
        <f t="shared" si="0"/>
        <v>416067.57999999996</v>
      </c>
      <c r="K7" s="755">
        <f t="shared" si="0"/>
        <v>566954.57999999996</v>
      </c>
      <c r="L7" s="755">
        <f t="shared" si="0"/>
        <v>796759.55999999994</v>
      </c>
      <c r="M7" s="755">
        <f t="shared" si="0"/>
        <v>811261.03999999992</v>
      </c>
      <c r="N7" s="755">
        <f t="shared" si="0"/>
        <v>921202</v>
      </c>
      <c r="O7" s="755">
        <f t="shared" si="0"/>
        <v>870739.96</v>
      </c>
    </row>
  </sheetData>
  <sheetProtection selectLockedCells="1" selectUnlockedCells="1"/>
  <phoneticPr fontId="33" type="noConversion"/>
  <hyperlinks>
    <hyperlink ref="E1" location="Índice!A1" display="ir a índice" xr:uid="{AB5D6BF2-394E-4FEE-B548-04DCD7844B5D}"/>
  </hyperlinks>
  <pageMargins left="0.75" right="0.75" top="0.52013888888888893" bottom="1" header="0.51180555555555551" footer="0.51180555555555551"/>
  <pageSetup paperSize="9" scale="92" firstPageNumber="0" orientation="landscape" horizontalDpi="300" verticalDpi="300" r:id="rId1"/>
  <headerFooter alignWithMargins="0"/>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6">
    <tabColor rgb="FFBF8B2E"/>
    <pageSetUpPr fitToPage="1"/>
  </sheetPr>
  <dimension ref="A1:R22"/>
  <sheetViews>
    <sheetView zoomScaleNormal="100" workbookViewId="0">
      <selection activeCell="M1" sqref="M1"/>
    </sheetView>
  </sheetViews>
  <sheetFormatPr baseColWidth="10" defaultColWidth="11.42578125" defaultRowHeight="14.25" x14ac:dyDescent="0.25"/>
  <cols>
    <col min="1" max="1" width="9.85546875" style="6" customWidth="1"/>
    <col min="2" max="2" width="53.7109375" style="6" customWidth="1"/>
    <col min="3" max="3" width="17.5703125" style="6" bestFit="1" customWidth="1"/>
    <col min="4" max="4" width="10.140625" style="6" bestFit="1" customWidth="1"/>
    <col min="5" max="5" width="12.85546875" style="6" customWidth="1"/>
    <col min="6" max="6" width="10" style="6" bestFit="1" customWidth="1"/>
    <col min="7" max="7" width="17.5703125" style="6" bestFit="1" customWidth="1"/>
    <col min="8" max="8" width="10" style="6" bestFit="1" customWidth="1"/>
    <col min="9" max="9" width="17.5703125" style="6" bestFit="1" customWidth="1"/>
    <col min="10" max="10" width="10" style="6" bestFit="1" customWidth="1"/>
    <col min="11" max="11" width="17.5703125" style="95" bestFit="1" customWidth="1"/>
    <col min="12" max="12" width="10" style="95" bestFit="1" customWidth="1"/>
    <col min="13" max="13" width="17.5703125" style="95" bestFit="1" customWidth="1"/>
    <col min="14" max="14" width="10" style="95" bestFit="1" customWidth="1"/>
    <col min="15" max="15" width="17.5703125" style="95" bestFit="1" customWidth="1"/>
    <col min="16" max="16" width="10" style="95" bestFit="1" customWidth="1"/>
    <col min="17" max="16384" width="11.42578125" style="6"/>
  </cols>
  <sheetData>
    <row r="1" spans="1:18" x14ac:dyDescent="0.25">
      <c r="A1" s="555" t="s">
        <v>1157</v>
      </c>
      <c r="E1" s="942" t="s">
        <v>1230</v>
      </c>
      <c r="G1" s="61"/>
    </row>
    <row r="2" spans="1:18" x14ac:dyDescent="0.25">
      <c r="A2" s="555" t="s">
        <v>303</v>
      </c>
      <c r="B2" s="25"/>
      <c r="C2" s="25"/>
      <c r="D2" s="25"/>
      <c r="E2" s="25"/>
      <c r="F2" s="25"/>
      <c r="G2" s="25"/>
      <c r="H2" s="25"/>
      <c r="I2" s="5"/>
      <c r="J2" s="5"/>
      <c r="K2" s="96"/>
      <c r="L2" s="96"/>
      <c r="M2" s="96"/>
      <c r="N2" s="96"/>
    </row>
    <row r="3" spans="1:18" ht="15" customHeight="1" x14ac:dyDescent="0.25">
      <c r="A3" t="s">
        <v>316</v>
      </c>
      <c r="B3" t="s">
        <v>275</v>
      </c>
      <c r="C3" t="s">
        <v>1143</v>
      </c>
      <c r="D3" s="756" t="s">
        <v>1150</v>
      </c>
      <c r="E3" t="s">
        <v>1144</v>
      </c>
      <c r="F3" s="757" t="s">
        <v>1151</v>
      </c>
      <c r="G3" t="s">
        <v>1145</v>
      </c>
      <c r="H3" s="757" t="s">
        <v>1152</v>
      </c>
      <c r="I3" t="s">
        <v>1146</v>
      </c>
      <c r="J3" s="757" t="s">
        <v>1153</v>
      </c>
      <c r="K3" t="s">
        <v>1147</v>
      </c>
      <c r="L3" s="757" t="s">
        <v>1154</v>
      </c>
      <c r="M3" t="s">
        <v>1148</v>
      </c>
      <c r="N3" s="757" t="s">
        <v>1155</v>
      </c>
      <c r="O3" t="s">
        <v>1149</v>
      </c>
      <c r="P3" s="757" t="s">
        <v>1156</v>
      </c>
    </row>
    <row r="4" spans="1:18" ht="42" customHeight="1" x14ac:dyDescent="0.25">
      <c r="A4" t="s">
        <v>318</v>
      </c>
      <c r="B4" t="s">
        <v>319</v>
      </c>
      <c r="C4">
        <v>63256.03</v>
      </c>
      <c r="D4">
        <f>C4/$C$20</f>
        <v>0.24564025261138264</v>
      </c>
      <c r="E4">
        <v>136244.07999999999</v>
      </c>
      <c r="F4">
        <f>E4/$E$20</f>
        <v>0.32745661173600688</v>
      </c>
      <c r="G4">
        <v>281262</v>
      </c>
      <c r="H4">
        <f>G4/$G$20</f>
        <v>0.49609264996148372</v>
      </c>
      <c r="I4">
        <v>510537.95</v>
      </c>
      <c r="J4">
        <f>I4/$I$20</f>
        <v>0.64076754606154929</v>
      </c>
      <c r="K4">
        <v>482513.54</v>
      </c>
      <c r="L4">
        <f>K4/$K$20</f>
        <v>0.59476976732421416</v>
      </c>
      <c r="M4">
        <v>526742.19999999995</v>
      </c>
      <c r="N4">
        <f>M4/$M$20</f>
        <v>0.57179880199999555</v>
      </c>
      <c r="O4">
        <v>547761</v>
      </c>
      <c r="P4">
        <f>O4/$O$20</f>
        <v>0.62907662753986238</v>
      </c>
    </row>
    <row r="5" spans="1:18" ht="27.75" customHeight="1" x14ac:dyDescent="0.25">
      <c r="A5" t="s">
        <v>320</v>
      </c>
      <c r="B5" t="s">
        <v>321</v>
      </c>
      <c r="C5">
        <v>16095.56</v>
      </c>
      <c r="D5">
        <f t="shared" ref="D5:D20" si="0">C5/$C$20</f>
        <v>6.2503407569549752E-2</v>
      </c>
      <c r="E5">
        <v>45145.599999999999</v>
      </c>
      <c r="F5">
        <f t="shared" ref="F5:F20" si="1">E5/$E$20</f>
        <v>0.10850545000405942</v>
      </c>
      <c r="G5">
        <v>55953</v>
      </c>
      <c r="H5">
        <f t="shared" ref="H5:H20" si="2">G5/$G$20</f>
        <v>9.8690445361601986E-2</v>
      </c>
      <c r="I5">
        <v>64909.56</v>
      </c>
      <c r="J5">
        <f t="shared" ref="J5:J20" si="3">I5/$I$20</f>
        <v>8.1466890908178116E-2</v>
      </c>
      <c r="K5">
        <v>74883.759999999995</v>
      </c>
      <c r="L5">
        <f t="shared" ref="L5:L20" si="4">K5/$K$20</f>
        <v>9.2305381754804849E-2</v>
      </c>
      <c r="M5">
        <v>112367.23</v>
      </c>
      <c r="N5">
        <f t="shared" ref="N5:N19" si="5">M5/$M$20</f>
        <v>0.12197892536056153</v>
      </c>
      <c r="O5">
        <v>73731</v>
      </c>
      <c r="P5">
        <f t="shared" ref="P5:P20" si="6">O5/$O$20</f>
        <v>8.4676435206488945E-2</v>
      </c>
    </row>
    <row r="6" spans="1:18" ht="28.5" customHeight="1" x14ac:dyDescent="0.25">
      <c r="A6" t="s">
        <v>322</v>
      </c>
      <c r="B6" t="s">
        <v>323</v>
      </c>
      <c r="C6">
        <v>31070.880000000001</v>
      </c>
      <c r="D6">
        <f t="shared" si="0"/>
        <v>0.12065662059503193</v>
      </c>
      <c r="E6">
        <v>32123.16</v>
      </c>
      <c r="F6">
        <f t="shared" si="1"/>
        <v>7.7206592255998407E-2</v>
      </c>
      <c r="G6">
        <v>37737</v>
      </c>
      <c r="H6">
        <f t="shared" si="2"/>
        <v>6.6560887470033317E-2</v>
      </c>
      <c r="I6">
        <v>38635.480000000003</v>
      </c>
      <c r="J6">
        <f t="shared" si="3"/>
        <v>4.8490737486821631E-2</v>
      </c>
      <c r="K6">
        <v>41462.99</v>
      </c>
      <c r="L6">
        <f t="shared" si="4"/>
        <v>5.1109307554076555E-2</v>
      </c>
      <c r="M6">
        <v>45584.94</v>
      </c>
      <c r="N6">
        <f t="shared" si="5"/>
        <v>4.948419564872851E-2</v>
      </c>
      <c r="O6">
        <v>44094</v>
      </c>
      <c r="P6">
        <f t="shared" si="6"/>
        <v>5.063979512002989E-2</v>
      </c>
    </row>
    <row r="7" spans="1:18" ht="25.5" customHeight="1" x14ac:dyDescent="0.25">
      <c r="A7" t="s">
        <v>324</v>
      </c>
      <c r="B7" t="s">
        <v>325</v>
      </c>
      <c r="C7">
        <v>23410.799999999999</v>
      </c>
      <c r="D7">
        <f t="shared" si="0"/>
        <v>9.0910460644377411E-2</v>
      </c>
      <c r="E7">
        <v>31264.84</v>
      </c>
      <c r="F7">
        <f t="shared" si="1"/>
        <v>7.5143658152841422E-2</v>
      </c>
      <c r="G7">
        <v>31411</v>
      </c>
      <c r="H7">
        <f t="shared" si="2"/>
        <v>5.5403027170183548E-2</v>
      </c>
      <c r="I7">
        <v>30125.82</v>
      </c>
      <c r="J7">
        <f t="shared" si="3"/>
        <v>3.7810407148953264E-2</v>
      </c>
      <c r="K7">
        <v>32780.74</v>
      </c>
      <c r="L7">
        <f t="shared" si="4"/>
        <v>4.0407141947800179E-2</v>
      </c>
      <c r="M7">
        <v>34572.86</v>
      </c>
      <c r="N7">
        <f t="shared" si="5"/>
        <v>3.7530161680065829E-2</v>
      </c>
      <c r="O7">
        <v>33173</v>
      </c>
      <c r="P7">
        <f t="shared" si="6"/>
        <v>3.8097562559911813E-2</v>
      </c>
    </row>
    <row r="8" spans="1:18" ht="25.5" customHeight="1" x14ac:dyDescent="0.25">
      <c r="A8" t="s">
        <v>326</v>
      </c>
      <c r="B8" t="s">
        <v>327</v>
      </c>
      <c r="C8">
        <v>839.98</v>
      </c>
      <c r="D8">
        <f t="shared" si="0"/>
        <v>3.2618692540222522E-3</v>
      </c>
      <c r="E8">
        <v>11796.24</v>
      </c>
      <c r="F8">
        <f t="shared" si="1"/>
        <v>2.8351740359102238E-2</v>
      </c>
      <c r="G8">
        <v>15145</v>
      </c>
      <c r="H8">
        <f t="shared" si="2"/>
        <v>2.6712898236045647E-2</v>
      </c>
      <c r="I8">
        <v>14385.12</v>
      </c>
      <c r="J8">
        <f t="shared" si="3"/>
        <v>1.8054520809277576E-2</v>
      </c>
      <c r="K8">
        <v>20419.82</v>
      </c>
      <c r="L8">
        <f t="shared" si="4"/>
        <v>2.5170467942106527E-2</v>
      </c>
      <c r="M8">
        <v>25725.22</v>
      </c>
      <c r="N8">
        <f t="shared" si="5"/>
        <v>2.7925710104841284E-2</v>
      </c>
      <c r="O8">
        <v>23648</v>
      </c>
      <c r="P8">
        <f t="shared" si="6"/>
        <v>2.7158567492141034E-2</v>
      </c>
    </row>
    <row r="9" spans="1:18" ht="25.5" customHeight="1" x14ac:dyDescent="0.25">
      <c r="A9" t="s">
        <v>328</v>
      </c>
      <c r="B9" t="s">
        <v>329</v>
      </c>
      <c r="C9">
        <v>0</v>
      </c>
      <c r="D9">
        <f t="shared" si="0"/>
        <v>0</v>
      </c>
      <c r="E9">
        <v>0</v>
      </c>
      <c r="F9">
        <f t="shared" si="1"/>
        <v>0</v>
      </c>
      <c r="G9">
        <v>0</v>
      </c>
      <c r="H9">
        <f t="shared" si="2"/>
        <v>0</v>
      </c>
      <c r="I9">
        <v>74.58</v>
      </c>
      <c r="J9">
        <f t="shared" si="3"/>
        <v>9.3604096591194333E-5</v>
      </c>
      <c r="K9">
        <v>6065.08</v>
      </c>
      <c r="L9">
        <f t="shared" si="4"/>
        <v>7.4761139768279774E-3</v>
      </c>
      <c r="M9">
        <v>26417.02</v>
      </c>
      <c r="N9">
        <f t="shared" si="5"/>
        <v>2.8676685460952103E-2</v>
      </c>
      <c r="O9">
        <v>22086</v>
      </c>
      <c r="P9">
        <f t="shared" si="6"/>
        <v>2.5364687146119204E-2</v>
      </c>
    </row>
    <row r="10" spans="1:18" ht="25.5" customHeight="1" x14ac:dyDescent="0.25">
      <c r="A10" t="s">
        <v>330</v>
      </c>
      <c r="B10" t="s">
        <v>331</v>
      </c>
      <c r="C10">
        <v>26029.360000000001</v>
      </c>
      <c r="D10">
        <f t="shared" si="0"/>
        <v>0.10107903650786525</v>
      </c>
      <c r="E10">
        <v>26492.400000000001</v>
      </c>
      <c r="F10">
        <f t="shared" si="1"/>
        <v>6.3673309994496566E-2</v>
      </c>
      <c r="G10">
        <v>31685</v>
      </c>
      <c r="H10">
        <f t="shared" si="2"/>
        <v>5.5886311033945618E-2</v>
      </c>
      <c r="I10">
        <v>11933.78</v>
      </c>
      <c r="J10">
        <f t="shared" si="3"/>
        <v>1.4977885436015866E-2</v>
      </c>
      <c r="K10">
        <v>16797.28</v>
      </c>
      <c r="L10">
        <f t="shared" si="4"/>
        <v>2.0705148123469606E-2</v>
      </c>
      <c r="M10">
        <v>23927.88</v>
      </c>
      <c r="N10">
        <f t="shared" si="5"/>
        <v>2.5974628800198005E-2</v>
      </c>
      <c r="O10">
        <v>19358</v>
      </c>
      <c r="P10">
        <f t="shared" si="6"/>
        <v>2.2231713020672624E-2</v>
      </c>
    </row>
    <row r="11" spans="1:18" s="62" customFormat="1" ht="27.75" customHeight="1" x14ac:dyDescent="0.25">
      <c r="A11" t="s">
        <v>332</v>
      </c>
      <c r="B11" t="s">
        <v>333</v>
      </c>
      <c r="C11">
        <v>130.86000000000001</v>
      </c>
      <c r="D11">
        <f t="shared" si="0"/>
        <v>5.0816473080472389E-4</v>
      </c>
      <c r="E11">
        <v>0</v>
      </c>
      <c r="F11">
        <f t="shared" si="1"/>
        <v>0</v>
      </c>
      <c r="G11">
        <v>0</v>
      </c>
      <c r="H11">
        <f t="shared" si="2"/>
        <v>0</v>
      </c>
      <c r="I11">
        <v>3919.56</v>
      </c>
      <c r="J11">
        <f t="shared" si="3"/>
        <v>4.9193734625232188E-3</v>
      </c>
      <c r="K11">
        <v>7878.04</v>
      </c>
      <c r="L11">
        <f t="shared" si="4"/>
        <v>9.7108570627279234E-3</v>
      </c>
      <c r="M11">
        <v>10163.799999999999</v>
      </c>
      <c r="N11">
        <f t="shared" si="5"/>
        <v>1.1033193588376924E-2</v>
      </c>
      <c r="O11">
        <v>14836</v>
      </c>
      <c r="P11">
        <f t="shared" si="6"/>
        <v>1.7038417934430158E-2</v>
      </c>
    </row>
    <row r="12" spans="1:18" s="62" customFormat="1" ht="27.75" customHeight="1" x14ac:dyDescent="0.25">
      <c r="A12" t="s">
        <v>334</v>
      </c>
      <c r="B12" t="s">
        <v>335</v>
      </c>
      <c r="C12">
        <v>0</v>
      </c>
      <c r="D12">
        <f t="shared" si="0"/>
        <v>0</v>
      </c>
      <c r="E12">
        <v>0</v>
      </c>
      <c r="F12">
        <f t="shared" si="1"/>
        <v>0</v>
      </c>
      <c r="G12">
        <v>0</v>
      </c>
      <c r="H12">
        <f t="shared" si="2"/>
        <v>0</v>
      </c>
      <c r="I12">
        <v>0</v>
      </c>
      <c r="J12">
        <f t="shared" si="3"/>
        <v>0</v>
      </c>
      <c r="K12">
        <v>0</v>
      </c>
      <c r="L12">
        <f t="shared" si="4"/>
        <v>0</v>
      </c>
      <c r="M12">
        <v>0</v>
      </c>
      <c r="N12">
        <f t="shared" si="5"/>
        <v>0</v>
      </c>
      <c r="O12">
        <v>10963</v>
      </c>
      <c r="P12">
        <f t="shared" si="6"/>
        <v>1.2590467498999584E-2</v>
      </c>
    </row>
    <row r="13" spans="1:18" s="62" customFormat="1" ht="27.75" customHeight="1" x14ac:dyDescent="0.25">
      <c r="A13" t="s">
        <v>336</v>
      </c>
      <c r="B13" t="s">
        <v>337</v>
      </c>
      <c r="C13">
        <f>3444100/1000</f>
        <v>3444.1</v>
      </c>
      <c r="D13">
        <f t="shared" si="0"/>
        <v>1.3374370696657109E-2</v>
      </c>
      <c r="E13">
        <f>2916500/1000</f>
        <v>2916.5</v>
      </c>
      <c r="F13">
        <f t="shared" si="1"/>
        <v>7.0096785719281464E-3</v>
      </c>
      <c r="G13">
        <f>1059620/1000</f>
        <v>1059.6199999999999</v>
      </c>
      <c r="H13">
        <f t="shared" si="2"/>
        <v>1.8689680573706626E-3</v>
      </c>
      <c r="I13">
        <f>1323000/1000</f>
        <v>1323</v>
      </c>
      <c r="J13">
        <f t="shared" si="3"/>
        <v>1.6604749234399316E-3</v>
      </c>
      <c r="K13">
        <f>1899980/1000</f>
        <v>1899.98</v>
      </c>
      <c r="L13">
        <f t="shared" si="4"/>
        <v>2.3420081901135057E-3</v>
      </c>
      <c r="M13">
        <f>3966780/1000</f>
        <v>3966.78</v>
      </c>
      <c r="N13">
        <f t="shared" si="5"/>
        <v>4.3060913892935537E-3</v>
      </c>
      <c r="O13">
        <v>10154</v>
      </c>
      <c r="P13">
        <f t="shared" si="6"/>
        <v>1.1661370700067663E-2</v>
      </c>
    </row>
    <row r="14" spans="1:18" s="62" customFormat="1" ht="29.25" customHeight="1" x14ac:dyDescent="0.25">
      <c r="A14" t="s">
        <v>338</v>
      </c>
      <c r="B14" t="s">
        <v>339</v>
      </c>
      <c r="C14">
        <v>497.32</v>
      </c>
      <c r="D14">
        <f t="shared" si="0"/>
        <v>1.9312279071053435E-3</v>
      </c>
      <c r="E14">
        <v>704.76</v>
      </c>
      <c r="F14">
        <f t="shared" si="1"/>
        <v>1.6938594446604081E-3</v>
      </c>
      <c r="G14">
        <v>11093.96</v>
      </c>
      <c r="H14">
        <f t="shared" si="2"/>
        <v>1.9567634500809571E-2</v>
      </c>
      <c r="I14">
        <v>11851.6</v>
      </c>
      <c r="J14">
        <f t="shared" si="3"/>
        <v>1.4874742707967268E-2</v>
      </c>
      <c r="K14">
        <v>9857.36</v>
      </c>
      <c r="L14">
        <f t="shared" si="4"/>
        <v>1.2150663613773443E-2</v>
      </c>
      <c r="M14">
        <v>9330</v>
      </c>
      <c r="N14">
        <f t="shared" si="5"/>
        <v>1.0128071801841507E-2</v>
      </c>
      <c r="O14">
        <v>7488</v>
      </c>
      <c r="P14">
        <f t="shared" si="6"/>
        <v>8.5996005320175938E-3</v>
      </c>
    </row>
    <row r="15" spans="1:18" s="62" customFormat="1" ht="30.75" customHeight="1" x14ac:dyDescent="0.25">
      <c r="A15" t="s">
        <v>340</v>
      </c>
      <c r="B15" t="s">
        <v>341</v>
      </c>
      <c r="C15">
        <v>49.14</v>
      </c>
      <c r="D15">
        <f t="shared" si="0"/>
        <v>1.9082389478636809E-4</v>
      </c>
      <c r="E15">
        <v>19.48</v>
      </c>
      <c r="F15">
        <f t="shared" si="1"/>
        <v>4.6819317188808605E-5</v>
      </c>
      <c r="G15">
        <v>38.979999999999997</v>
      </c>
      <c r="H15">
        <f t="shared" si="2"/>
        <v>6.8753302954180213E-5</v>
      </c>
      <c r="I15">
        <v>62.36</v>
      </c>
      <c r="J15">
        <f t="shared" si="3"/>
        <v>7.8266981274160343E-5</v>
      </c>
      <c r="K15">
        <v>13687.72</v>
      </c>
      <c r="L15">
        <f t="shared" si="4"/>
        <v>1.6872152519489904E-2</v>
      </c>
      <c r="M15">
        <v>8955.2199999999993</v>
      </c>
      <c r="N15">
        <f t="shared" si="5"/>
        <v>9.7212337793448119E-3</v>
      </c>
      <c r="O15">
        <v>6080</v>
      </c>
      <c r="P15">
        <f t="shared" si="6"/>
        <v>6.9825816285612949E-3</v>
      </c>
    </row>
    <row r="16" spans="1:18" ht="30" customHeight="1" x14ac:dyDescent="0.25">
      <c r="A16" t="s">
        <v>342</v>
      </c>
      <c r="B16" t="s">
        <v>343</v>
      </c>
      <c r="C16">
        <v>17167.509999999998</v>
      </c>
      <c r="D16">
        <f t="shared" si="0"/>
        <v>6.6666078998451811E-2</v>
      </c>
      <c r="E16">
        <v>18295.36</v>
      </c>
      <c r="F16">
        <f t="shared" si="1"/>
        <v>4.3972087419067836E-2</v>
      </c>
      <c r="G16">
        <v>12946</v>
      </c>
      <c r="H16">
        <f t="shared" si="2"/>
        <v>2.2834280657896795E-2</v>
      </c>
      <c r="I16">
        <v>13173.56</v>
      </c>
      <c r="J16">
        <f t="shared" si="3"/>
        <v>1.6533912344997237E-2</v>
      </c>
      <c r="K16">
        <v>12237</v>
      </c>
      <c r="L16">
        <f t="shared" si="4"/>
        <v>1.5083924158369543E-2</v>
      </c>
      <c r="M16">
        <v>11523.9</v>
      </c>
      <c r="N16">
        <f t="shared" si="5"/>
        <v>1.2509634151901537E-2</v>
      </c>
      <c r="O16">
        <v>3457</v>
      </c>
      <c r="P16">
        <f t="shared" si="6"/>
        <v>3.9701948503184864E-3</v>
      </c>
      <c r="Q16" s="242"/>
      <c r="R16" s="242"/>
    </row>
    <row r="17" spans="1:16" s="62" customFormat="1" ht="27.75" customHeight="1" x14ac:dyDescent="0.25">
      <c r="A17" t="s">
        <v>344</v>
      </c>
      <c r="B17" t="s">
        <v>345</v>
      </c>
      <c r="C17">
        <f>5746380/1000</f>
        <v>5746.38</v>
      </c>
      <c r="D17">
        <f t="shared" si="0"/>
        <v>2.2314745879578549E-2</v>
      </c>
      <c r="E17">
        <f>2989200/1000</f>
        <v>2989.2</v>
      </c>
      <c r="F17">
        <f t="shared" si="1"/>
        <v>7.1844098018884325E-3</v>
      </c>
      <c r="G17">
        <f>2840720/1000</f>
        <v>2840.72</v>
      </c>
      <c r="H17">
        <f t="shared" si="2"/>
        <v>5.0104895527962748E-3</v>
      </c>
      <c r="I17">
        <f>3572060/1000</f>
        <v>3572.06</v>
      </c>
      <c r="J17">
        <f t="shared" si="3"/>
        <v>4.4832320899643556E-3</v>
      </c>
      <c r="K17">
        <f>3135160/1000</f>
        <v>3135.16</v>
      </c>
      <c r="L17">
        <f t="shared" si="4"/>
        <v>3.8645514149181874E-3</v>
      </c>
      <c r="M17">
        <f>3408400/1000</f>
        <v>3408.4</v>
      </c>
      <c r="N17">
        <f t="shared" si="5"/>
        <v>3.6999485454873092E-3</v>
      </c>
      <c r="O17">
        <v>3263</v>
      </c>
      <c r="P17">
        <f t="shared" si="6"/>
        <v>3.7473953707229447E-3</v>
      </c>
    </row>
    <row r="18" spans="1:16" s="62" customFormat="1" ht="29.25" customHeight="1" x14ac:dyDescent="0.25">
      <c r="A18" t="s">
        <v>346</v>
      </c>
      <c r="B18" t="s">
        <v>347</v>
      </c>
      <c r="C18">
        <f>4497460/1000</f>
        <v>4497.46</v>
      </c>
      <c r="D18">
        <f t="shared" si="0"/>
        <v>1.746485213361618E-2</v>
      </c>
      <c r="E18">
        <f>3475340/1000</f>
        <v>3475.34</v>
      </c>
      <c r="F18">
        <f t="shared" si="1"/>
        <v>8.3528257596999032E-3</v>
      </c>
      <c r="G18">
        <f>3953600/1000</f>
        <v>3953.6</v>
      </c>
      <c r="H18">
        <f t="shared" si="2"/>
        <v>6.973398115947842E-3</v>
      </c>
      <c r="I18">
        <f>4802040/1000</f>
        <v>4802.04</v>
      </c>
      <c r="J18">
        <f t="shared" si="3"/>
        <v>6.026959184698027E-3</v>
      </c>
      <c r="K18">
        <f>4741960/1000</f>
        <v>4741.96</v>
      </c>
      <c r="L18">
        <f t="shared" si="4"/>
        <v>5.8451716108541343E-3</v>
      </c>
      <c r="M18">
        <f>3355760/1000</f>
        <v>3355.76</v>
      </c>
      <c r="N18">
        <f t="shared" si="5"/>
        <v>3.6428058124059657E-3</v>
      </c>
      <c r="O18">
        <v>3046</v>
      </c>
      <c r="P18">
        <f t="shared" si="6"/>
        <v>3.4981815198351488E-3</v>
      </c>
    </row>
    <row r="19" spans="1:16" s="62" customFormat="1" ht="30.75" customHeight="1" x14ac:dyDescent="0.25">
      <c r="A19" t="s">
        <v>348</v>
      </c>
      <c r="B19" t="s">
        <v>349</v>
      </c>
      <c r="C19">
        <f>257515-192235</f>
        <v>65280</v>
      </c>
      <c r="D19">
        <f t="shared" si="0"/>
        <v>0.25349987488103598</v>
      </c>
      <c r="E19">
        <f>416068-311467</f>
        <v>104601</v>
      </c>
      <c r="F19">
        <f t="shared" si="1"/>
        <v>0.25140387049623042</v>
      </c>
      <c r="G19">
        <f>566955-485126</f>
        <v>81829</v>
      </c>
      <c r="H19">
        <f t="shared" si="2"/>
        <v>0.14433078572184743</v>
      </c>
      <c r="I19">
        <f>I20-709306</f>
        <v>87454</v>
      </c>
      <c r="J19">
        <f t="shared" si="3"/>
        <v>0.10976203624679953</v>
      </c>
      <c r="K19">
        <f>811261-728360</f>
        <v>82901</v>
      </c>
      <c r="L19">
        <f t="shared" si="4"/>
        <v>0.10218782353951079</v>
      </c>
      <c r="M19">
        <f>921202-846041</f>
        <v>75161</v>
      </c>
      <c r="N19">
        <f t="shared" si="5"/>
        <v>8.1590139839036388E-2</v>
      </c>
      <c r="O19">
        <f>870738-823138</f>
        <v>47600</v>
      </c>
      <c r="P19">
        <f t="shared" si="6"/>
        <v>5.4666264065710138E-2</v>
      </c>
    </row>
    <row r="20" spans="1:16" ht="26.25" customHeight="1" x14ac:dyDescent="0.25">
      <c r="A20"/>
      <c r="B20" t="s">
        <v>136</v>
      </c>
      <c r="C20">
        <v>257514.92</v>
      </c>
      <c r="D20">
        <f t="shared" si="0"/>
        <v>1</v>
      </c>
      <c r="E20">
        <v>416067.58</v>
      </c>
      <c r="F20">
        <f t="shared" si="1"/>
        <v>1</v>
      </c>
      <c r="G20">
        <v>566954.57999999996</v>
      </c>
      <c r="H20">
        <f t="shared" si="2"/>
        <v>1</v>
      </c>
      <c r="I20">
        <v>796760</v>
      </c>
      <c r="J20">
        <f t="shared" si="3"/>
        <v>1</v>
      </c>
      <c r="K20">
        <v>811261.03999999992</v>
      </c>
      <c r="L20">
        <f t="shared" si="4"/>
        <v>1</v>
      </c>
      <c r="M20">
        <v>921202</v>
      </c>
      <c r="N20">
        <v>1</v>
      </c>
      <c r="O20">
        <v>870738.12</v>
      </c>
      <c r="P20">
        <f t="shared" si="6"/>
        <v>1</v>
      </c>
    </row>
    <row r="22" spans="1:16" x14ac:dyDescent="0.25">
      <c r="I22" s="223"/>
    </row>
  </sheetData>
  <sheetProtection selectLockedCells="1" selectUnlockedCells="1"/>
  <phoneticPr fontId="33" type="noConversion"/>
  <hyperlinks>
    <hyperlink ref="E1" location="Índice!A1" display="ir a índice" xr:uid="{A5EB0C29-A5CE-4962-902E-AC1E21440FBD}"/>
  </hyperlinks>
  <pageMargins left="0.75" right="0.75" top="0.52013888888888893" bottom="1" header="0.51180555555555551" footer="0.51180555555555551"/>
  <pageSetup paperSize="9" scale="73" firstPageNumber="0" orientation="landscape" horizontalDpi="300" verticalDpi="300"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7">
    <tabColor rgb="FFBF8B2E"/>
    <pageSetUpPr fitToPage="1"/>
  </sheetPr>
  <dimension ref="A1:L12"/>
  <sheetViews>
    <sheetView workbookViewId="0">
      <selection activeCell="M1" sqref="M1"/>
    </sheetView>
  </sheetViews>
  <sheetFormatPr baseColWidth="10" defaultColWidth="11.42578125" defaultRowHeight="12.75" x14ac:dyDescent="0.2"/>
  <cols>
    <col min="1" max="1" width="51.28515625" style="103" customWidth="1"/>
    <col min="2" max="2" width="28.42578125" style="103" customWidth="1"/>
    <col min="3" max="4" width="11.42578125" style="103"/>
    <col min="5" max="5" width="12.85546875" style="103" customWidth="1"/>
    <col min="6" max="16384" width="11.42578125" style="103"/>
  </cols>
  <sheetData>
    <row r="1" spans="1:12" x14ac:dyDescent="0.2">
      <c r="A1" s="555" t="s">
        <v>1158</v>
      </c>
      <c r="E1" s="942" t="s">
        <v>1230</v>
      </c>
    </row>
    <row r="2" spans="1:12" x14ac:dyDescent="0.2">
      <c r="A2" s="555" t="s">
        <v>91</v>
      </c>
    </row>
    <row r="3" spans="1:12" ht="14.25" x14ac:dyDescent="0.25">
      <c r="A3" t="s">
        <v>350</v>
      </c>
      <c r="B3" t="s">
        <v>276</v>
      </c>
      <c r="C3" s="119"/>
    </row>
    <row r="4" spans="1:12" ht="14.25" x14ac:dyDescent="0.25">
      <c r="A4" t="s">
        <v>351</v>
      </c>
      <c r="B4">
        <v>224838.67000000004</v>
      </c>
      <c r="C4" s="244"/>
    </row>
    <row r="5" spans="1:12" ht="14.25" x14ac:dyDescent="0.25">
      <c r="A5" t="s">
        <v>352</v>
      </c>
      <c r="B5">
        <f>'Figura 1.5-17'!O6</f>
        <v>237282.85000000003</v>
      </c>
      <c r="C5" s="230"/>
      <c r="D5" s="185"/>
    </row>
    <row r="6" spans="1:12" ht="14.25" x14ac:dyDescent="0.25">
      <c r="A6" t="s">
        <v>353</v>
      </c>
      <c r="B6">
        <f>B7-B4-B5</f>
        <v>239461.51999999996</v>
      </c>
      <c r="C6" s="244"/>
      <c r="D6" s="185"/>
      <c r="E6" s="185"/>
    </row>
    <row r="7" spans="1:12" ht="14.25" x14ac:dyDescent="0.25">
      <c r="A7" t="s">
        <v>136</v>
      </c>
      <c r="B7">
        <v>701583.04</v>
      </c>
      <c r="C7" s="231"/>
      <c r="D7" s="185"/>
      <c r="E7" s="185"/>
    </row>
    <row r="9" spans="1:12" x14ac:dyDescent="0.2">
      <c r="D9" s="185"/>
      <c r="E9" s="185"/>
      <c r="F9" s="185"/>
      <c r="G9" s="185"/>
      <c r="H9" s="185"/>
      <c r="I9" s="185"/>
      <c r="J9" s="185"/>
      <c r="K9" s="185"/>
      <c r="L9" s="185"/>
    </row>
    <row r="10" spans="1:12" x14ac:dyDescent="0.2">
      <c r="D10" s="185"/>
      <c r="E10" s="185"/>
      <c r="F10" s="185"/>
      <c r="G10" s="185"/>
      <c r="H10" s="185"/>
      <c r="I10" s="185"/>
      <c r="J10" s="185"/>
      <c r="K10" s="185"/>
      <c r="L10" s="185"/>
    </row>
    <row r="11" spans="1:12" x14ac:dyDescent="0.2">
      <c r="D11" s="260"/>
      <c r="E11" s="185"/>
      <c r="F11" s="185"/>
      <c r="G11" s="185"/>
      <c r="H11" s="185"/>
      <c r="I11" s="185"/>
      <c r="J11" s="185"/>
      <c r="K11" s="185"/>
      <c r="L11" s="185"/>
    </row>
    <row r="12" spans="1:12" x14ac:dyDescent="0.2">
      <c r="D12" s="185"/>
      <c r="E12" s="185"/>
      <c r="F12" s="185"/>
      <c r="G12" s="185"/>
      <c r="H12" s="185"/>
      <c r="I12" s="185"/>
      <c r="J12" s="185"/>
      <c r="K12" s="185"/>
      <c r="L12" s="185"/>
    </row>
  </sheetData>
  <sheetProtection selectLockedCells="1" selectUnlockedCells="1"/>
  <phoneticPr fontId="33" type="noConversion"/>
  <hyperlinks>
    <hyperlink ref="E1" location="Índice!A1" display="ir a índice" xr:uid="{E47F7CD6-07D5-4E58-A122-80C644AB6FE3}"/>
  </hyperlinks>
  <pageMargins left="0.75" right="0.75" top="1" bottom="1" header="0.51180555555555551" footer="0.51180555555555551"/>
  <pageSetup paperSize="9" firstPageNumber="0" orientation="landscape" horizontalDpi="300" verticalDpi="300" r:id="rId1"/>
  <headerFooter alignWithMargins="0"/>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0">
    <tabColor rgb="FFBF8B2E"/>
  </sheetPr>
  <dimension ref="A1:F8"/>
  <sheetViews>
    <sheetView workbookViewId="0">
      <selection activeCell="M1" sqref="M1"/>
    </sheetView>
  </sheetViews>
  <sheetFormatPr baseColWidth="10" defaultColWidth="11" defaultRowHeight="14.25" x14ac:dyDescent="0.25"/>
  <cols>
    <col min="1" max="1" width="19.42578125" style="97" customWidth="1"/>
    <col min="2" max="2" width="14.140625" style="97" customWidth="1"/>
    <col min="3" max="3" width="22.140625" style="97" bestFit="1" customWidth="1"/>
    <col min="4" max="4" width="11" style="97"/>
    <col min="5" max="5" width="12.85546875" style="97" customWidth="1"/>
    <col min="6" max="6" width="15.5703125" style="97" customWidth="1"/>
    <col min="7" max="16384" width="11" style="97"/>
  </cols>
  <sheetData>
    <row r="1" spans="1:6" s="758" customFormat="1" x14ac:dyDescent="0.25">
      <c r="A1" s="555" t="s">
        <v>1159</v>
      </c>
      <c r="B1" s="103"/>
      <c r="C1" s="103"/>
      <c r="E1" s="942" t="s">
        <v>1230</v>
      </c>
    </row>
    <row r="2" spans="1:6" s="758" customFormat="1" x14ac:dyDescent="0.25">
      <c r="A2" s="555" t="s">
        <v>91</v>
      </c>
      <c r="B2" s="759"/>
      <c r="C2" s="759"/>
      <c r="D2" s="760"/>
    </row>
    <row r="3" spans="1:6" ht="28.5" x14ac:dyDescent="0.25">
      <c r="A3" s="739" t="s">
        <v>1008</v>
      </c>
      <c r="B3" s="739" t="s">
        <v>368</v>
      </c>
      <c r="C3" s="739" t="s">
        <v>369</v>
      </c>
      <c r="D3" s="739" t="s">
        <v>136</v>
      </c>
      <c r="E3" s="106"/>
      <c r="F3" s="123"/>
    </row>
    <row r="4" spans="1:6" ht="33" customHeight="1" x14ac:dyDescent="0.25">
      <c r="A4" t="s">
        <v>370</v>
      </c>
      <c r="B4">
        <v>243015.53</v>
      </c>
      <c r="C4">
        <v>233728.84000000003</v>
      </c>
      <c r="D4">
        <f>SUM(B4:C4)</f>
        <v>476744.37</v>
      </c>
      <c r="E4" s="124"/>
      <c r="F4" s="126"/>
    </row>
    <row r="5" spans="1:6" x14ac:dyDescent="0.25">
      <c r="A5" t="s">
        <v>309</v>
      </c>
      <c r="B5" s="761">
        <f>B4/D4</f>
        <v>0.50973969551019549</v>
      </c>
      <c r="C5" s="761">
        <f>C4/D4</f>
        <v>0.49026030448980451</v>
      </c>
      <c r="D5" s="761">
        <v>1</v>
      </c>
      <c r="E5" s="106"/>
      <c r="F5" s="126"/>
    </row>
    <row r="6" spans="1:6" x14ac:dyDescent="0.25">
      <c r="A6" s="125" t="s">
        <v>362</v>
      </c>
      <c r="B6" s="125"/>
      <c r="C6" s="101"/>
      <c r="D6" s="101"/>
    </row>
    <row r="7" spans="1:6" x14ac:dyDescent="0.25">
      <c r="A7" s="125"/>
      <c r="B7" s="125"/>
      <c r="C7" s="101"/>
      <c r="D7" s="101"/>
    </row>
    <row r="8" spans="1:6" x14ac:dyDescent="0.25">
      <c r="A8" s="964"/>
      <c r="B8" s="964"/>
      <c r="C8" s="964"/>
    </row>
  </sheetData>
  <sheetProtection selectLockedCells="1" selectUnlockedCells="1"/>
  <mergeCells count="1">
    <mergeCell ref="A8:C8"/>
  </mergeCells>
  <phoneticPr fontId="33" type="noConversion"/>
  <hyperlinks>
    <hyperlink ref="E1" location="Índice!A1" display="ir a índice" xr:uid="{55ACCEFE-1BF7-4C9D-9696-F219F71F27A0}"/>
  </hyperlinks>
  <pageMargins left="0.75" right="0.75" top="1" bottom="1" header="0.51180555555555551" footer="0.51180555555555551"/>
  <pageSetup paperSize="9" firstPageNumber="0" orientation="landscape" horizontalDpi="300" verticalDpi="300" r:id="rId1"/>
  <headerFooter alignWithMargins="0"/>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8">
    <tabColor rgb="FFBF8B2E"/>
    <pageSetUpPr fitToPage="1"/>
  </sheetPr>
  <dimension ref="A1:P41"/>
  <sheetViews>
    <sheetView workbookViewId="0">
      <selection activeCell="M1" sqref="M1"/>
    </sheetView>
  </sheetViews>
  <sheetFormatPr baseColWidth="10" defaultColWidth="11" defaultRowHeight="14.25" x14ac:dyDescent="0.25"/>
  <cols>
    <col min="1" max="1" width="11" style="97" customWidth="1"/>
    <col min="2" max="2" width="11.140625" style="97" customWidth="1"/>
    <col min="3" max="3" width="39.140625" style="97" customWidth="1"/>
    <col min="4" max="4" width="0" style="97" hidden="1" customWidth="1"/>
    <col min="5" max="5" width="12.85546875" style="97" customWidth="1"/>
    <col min="6" max="8" width="0" style="97" hidden="1" customWidth="1"/>
    <col min="9" max="15" width="9.42578125" style="97" customWidth="1"/>
    <col min="16" max="16" width="3.7109375" style="97" customWidth="1"/>
    <col min="17" max="16384" width="11" style="97"/>
  </cols>
  <sheetData>
    <row r="1" spans="1:16" x14ac:dyDescent="0.25">
      <c r="A1" s="555" t="s">
        <v>1167</v>
      </c>
      <c r="B1" s="107"/>
      <c r="C1" s="107"/>
      <c r="D1" s="107"/>
      <c r="E1" s="942" t="s">
        <v>1230</v>
      </c>
      <c r="F1" s="107"/>
      <c r="G1" s="107"/>
      <c r="H1" s="107"/>
      <c r="I1" s="107"/>
      <c r="J1" s="107"/>
      <c r="K1" s="107"/>
      <c r="L1" s="107"/>
      <c r="M1" s="107"/>
      <c r="N1" s="107"/>
      <c r="O1" s="107"/>
    </row>
    <row r="2" spans="1:16" ht="12.75" customHeight="1" x14ac:dyDescent="0.25">
      <c r="A2" s="555" t="s">
        <v>91</v>
      </c>
      <c r="D2" t="s">
        <v>356</v>
      </c>
      <c r="E2"/>
      <c r="F2"/>
      <c r="G2"/>
      <c r="H2"/>
      <c r="I2"/>
      <c r="J2"/>
      <c r="K2"/>
      <c r="L2"/>
      <c r="M2"/>
      <c r="N2"/>
      <c r="O2"/>
      <c r="P2" s="106"/>
    </row>
    <row r="3" spans="1:16" x14ac:dyDescent="0.25">
      <c r="A3" t="s">
        <v>354</v>
      </c>
      <c r="B3" t="s">
        <v>46</v>
      </c>
      <c r="C3" t="s">
        <v>355</v>
      </c>
      <c r="D3" t="s">
        <v>1104</v>
      </c>
      <c r="E3" t="s">
        <v>1105</v>
      </c>
      <c r="F3" t="s">
        <v>1106</v>
      </c>
      <c r="G3" t="s">
        <v>1107</v>
      </c>
      <c r="H3" t="s">
        <v>1108</v>
      </c>
      <c r="I3" t="s">
        <v>1160</v>
      </c>
      <c r="J3" t="s">
        <v>1161</v>
      </c>
      <c r="K3" t="s">
        <v>1162</v>
      </c>
      <c r="L3" t="s">
        <v>1163</v>
      </c>
      <c r="M3" t="s">
        <v>1164</v>
      </c>
      <c r="N3" t="s">
        <v>1165</v>
      </c>
      <c r="O3" t="s">
        <v>1166</v>
      </c>
      <c r="P3" s="106"/>
    </row>
    <row r="4" spans="1:16" x14ac:dyDescent="0.25">
      <c r="A4" t="s">
        <v>357</v>
      </c>
      <c r="B4" t="s">
        <v>358</v>
      </c>
      <c r="C4" t="s">
        <v>359</v>
      </c>
      <c r="D4">
        <v>97769</v>
      </c>
      <c r="E4">
        <v>27184.97</v>
      </c>
      <c r="F4">
        <v>29561.8</v>
      </c>
      <c r="G4">
        <v>34323.800000000003</v>
      </c>
      <c r="H4">
        <v>58441.35</v>
      </c>
      <c r="I4">
        <v>64877</v>
      </c>
      <c r="J4">
        <v>54709.159999999996</v>
      </c>
      <c r="K4">
        <v>40901.289999999994</v>
      </c>
      <c r="L4">
        <v>54695.969999999994</v>
      </c>
      <c r="M4">
        <v>67058.28</v>
      </c>
      <c r="N4">
        <v>78336.28</v>
      </c>
      <c r="O4">
        <v>71286.820000000007</v>
      </c>
      <c r="P4" s="762"/>
    </row>
    <row r="5" spans="1:16" x14ac:dyDescent="0.25">
      <c r="A5" t="s">
        <v>357</v>
      </c>
      <c r="B5" t="s">
        <v>360</v>
      </c>
      <c r="C5" t="s">
        <v>359</v>
      </c>
      <c r="D5">
        <v>236201</v>
      </c>
      <c r="E5">
        <v>123245.47</v>
      </c>
      <c r="F5">
        <v>126611.37</v>
      </c>
      <c r="G5">
        <v>117667.59499999999</v>
      </c>
      <c r="H5">
        <v>175507</v>
      </c>
      <c r="I5">
        <v>152590</v>
      </c>
      <c r="J5">
        <v>180020.74900000004</v>
      </c>
      <c r="K5">
        <v>187640.88800000004</v>
      </c>
      <c r="L5">
        <v>190689.71500000003</v>
      </c>
      <c r="M5">
        <v>200932.228</v>
      </c>
      <c r="N5">
        <v>177256.57199999999</v>
      </c>
      <c r="O5">
        <v>165996.03000000003</v>
      </c>
      <c r="P5" s="762"/>
    </row>
    <row r="6" spans="1:16" ht="12.75" customHeight="1" x14ac:dyDescent="0.25">
      <c r="A6" t="s">
        <v>361</v>
      </c>
      <c r="B6"/>
      <c r="C6"/>
      <c r="D6">
        <v>333970</v>
      </c>
      <c r="E6">
        <v>150430.44</v>
      </c>
      <c r="F6">
        <v>156173.16999999998</v>
      </c>
      <c r="G6">
        <v>151991.39499999999</v>
      </c>
      <c r="H6">
        <v>233948.35</v>
      </c>
      <c r="I6">
        <v>217467</v>
      </c>
      <c r="J6">
        <v>234729.90900000004</v>
      </c>
      <c r="K6">
        <v>228542.17800000001</v>
      </c>
      <c r="L6">
        <v>245385.68500000003</v>
      </c>
      <c r="M6">
        <v>267990.50800000003</v>
      </c>
      <c r="N6">
        <v>255592.85199999998</v>
      </c>
      <c r="O6">
        <f>SUM(O4:O5)</f>
        <v>237282.85000000003</v>
      </c>
      <c r="P6" s="762"/>
    </row>
    <row r="7" spans="1:16" ht="12.75" customHeight="1" x14ac:dyDescent="0.25">
      <c r="A7" s="763" t="s">
        <v>362</v>
      </c>
      <c r="B7" s="107"/>
      <c r="C7" s="763"/>
      <c r="D7" s="764"/>
      <c r="E7" s="765"/>
      <c r="F7" s="765"/>
      <c r="G7" s="766"/>
      <c r="H7" s="291"/>
      <c r="I7" s="291"/>
      <c r="J7" s="291"/>
      <c r="K7" s="107"/>
      <c r="L7" s="107"/>
      <c r="M7" s="107"/>
      <c r="N7" s="107"/>
      <c r="O7" s="107"/>
    </row>
    <row r="8" spans="1:16" ht="12.75" customHeight="1" x14ac:dyDescent="0.25">
      <c r="A8" s="120"/>
      <c r="B8" s="196"/>
      <c r="C8" s="196"/>
      <c r="D8" s="121"/>
      <c r="E8" s="118"/>
      <c r="F8" s="118"/>
      <c r="G8" s="122"/>
      <c r="H8" s="101"/>
      <c r="I8" s="101"/>
      <c r="J8" s="101"/>
    </row>
    <row r="18" spans="9:10" x14ac:dyDescent="0.25">
      <c r="I18" s="102"/>
      <c r="J18" s="102"/>
    </row>
    <row r="19" spans="9:10" x14ac:dyDescent="0.25">
      <c r="I19" s="102"/>
      <c r="J19" s="102"/>
    </row>
    <row r="41" spans="2:5" ht="12.75" customHeight="1" x14ac:dyDescent="0.25">
      <c r="B41" s="965"/>
      <c r="C41" s="965"/>
      <c r="D41" s="965"/>
      <c r="E41" s="965"/>
    </row>
  </sheetData>
  <sheetProtection selectLockedCells="1" selectUnlockedCells="1"/>
  <mergeCells count="1">
    <mergeCell ref="B41:E41"/>
  </mergeCells>
  <phoneticPr fontId="33" type="noConversion"/>
  <hyperlinks>
    <hyperlink ref="E1" location="Índice!A1" display="ir a índice" xr:uid="{82D90349-209C-4C3C-B2C2-5FFEA451ADFE}"/>
  </hyperlinks>
  <pageMargins left="0.7" right="0.7" top="0.75" bottom="0.75" header="0.51180555555555551" footer="0.51180555555555551"/>
  <pageSetup paperSize="9" scale="83" firstPageNumber="0" orientation="landscape" horizontalDpi="300" verticalDpi="300" r:id="rId1"/>
  <headerFooter alignWithMargins="0"/>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9">
    <tabColor rgb="FFBF8B2E"/>
    <pageSetUpPr fitToPage="1"/>
  </sheetPr>
  <dimension ref="A1:F10"/>
  <sheetViews>
    <sheetView workbookViewId="0">
      <selection activeCell="M1" sqref="M1"/>
    </sheetView>
  </sheetViews>
  <sheetFormatPr baseColWidth="10" defaultColWidth="11.42578125" defaultRowHeight="14.25" x14ac:dyDescent="0.25"/>
  <cols>
    <col min="1" max="1" width="40.85546875" style="6" customWidth="1"/>
    <col min="2" max="2" width="12.85546875" style="6" customWidth="1"/>
    <col min="3" max="3" width="9.5703125" style="6" customWidth="1"/>
    <col min="4" max="4" width="11.42578125" style="6"/>
    <col min="5" max="5" width="12.85546875" style="6" customWidth="1"/>
    <col min="6" max="16384" width="11.42578125" style="6"/>
  </cols>
  <sheetData>
    <row r="1" spans="1:6" ht="26.25" customHeight="1" x14ac:dyDescent="0.25">
      <c r="A1" s="555" t="s">
        <v>1168</v>
      </c>
      <c r="B1" s="739"/>
      <c r="C1" s="739"/>
      <c r="D1" s="739"/>
      <c r="E1" s="942" t="s">
        <v>1230</v>
      </c>
      <c r="F1" s="25"/>
    </row>
    <row r="2" spans="1:6" x14ac:dyDescent="0.25">
      <c r="A2" s="555" t="s">
        <v>91</v>
      </c>
      <c r="B2" s="88"/>
      <c r="C2" s="88"/>
      <c r="D2" s="88"/>
      <c r="E2" s="25"/>
      <c r="F2" s="25"/>
    </row>
    <row r="3" spans="1:6" ht="18" customHeight="1" x14ac:dyDescent="0.25">
      <c r="A3" t="s">
        <v>363</v>
      </c>
      <c r="B3" t="s">
        <v>244</v>
      </c>
      <c r="C3" t="s">
        <v>317</v>
      </c>
      <c r="D3" t="s">
        <v>364</v>
      </c>
      <c r="E3" s="25"/>
      <c r="F3" s="25"/>
    </row>
    <row r="4" spans="1:6" x14ac:dyDescent="0.25">
      <c r="A4" t="s">
        <v>84</v>
      </c>
      <c r="B4">
        <v>170904</v>
      </c>
      <c r="C4" s="761">
        <f>D4/$D$9</f>
        <v>0.74796143084087185</v>
      </c>
      <c r="D4">
        <v>177478.41999999998</v>
      </c>
      <c r="E4" s="25"/>
      <c r="F4" s="25"/>
    </row>
    <row r="5" spans="1:6" x14ac:dyDescent="0.25">
      <c r="A5" t="s">
        <v>365</v>
      </c>
      <c r="B5">
        <v>170101</v>
      </c>
      <c r="C5" s="761">
        <f t="shared" ref="C5:C9" si="0">D5/$D$9</f>
        <v>0.14317107199277149</v>
      </c>
      <c r="D5">
        <v>33972.04</v>
      </c>
      <c r="E5" s="25"/>
    </row>
    <row r="6" spans="1:6" x14ac:dyDescent="0.25">
      <c r="A6" t="s">
        <v>366</v>
      </c>
      <c r="B6">
        <v>170302</v>
      </c>
      <c r="C6" s="761">
        <f t="shared" si="0"/>
        <v>5.62497036764351E-2</v>
      </c>
      <c r="D6">
        <v>13347.09</v>
      </c>
      <c r="E6" s="25"/>
    </row>
    <row r="7" spans="1:6" x14ac:dyDescent="0.25">
      <c r="A7" t="s">
        <v>367</v>
      </c>
      <c r="B7">
        <v>170107</v>
      </c>
      <c r="C7" s="761">
        <f t="shared" si="0"/>
        <v>4.1498911531111488E-2</v>
      </c>
      <c r="D7">
        <v>9846.98</v>
      </c>
      <c r="E7" s="25"/>
    </row>
    <row r="8" spans="1:6" x14ac:dyDescent="0.25">
      <c r="A8" t="s">
        <v>278</v>
      </c>
      <c r="B8">
        <v>17</v>
      </c>
      <c r="C8" s="761">
        <f t="shared" si="0"/>
        <v>1.1118881958810131E-2</v>
      </c>
      <c r="D8">
        <f>D9-D4-D5-D7-D6</f>
        <v>2638.3200000000506</v>
      </c>
      <c r="E8" s="25"/>
    </row>
    <row r="9" spans="1:6" x14ac:dyDescent="0.25">
      <c r="A9"/>
      <c r="B9" t="s">
        <v>136</v>
      </c>
      <c r="C9" s="761">
        <f t="shared" si="0"/>
        <v>1</v>
      </c>
      <c r="D9">
        <v>237282.85000000003</v>
      </c>
      <c r="E9" s="25"/>
      <c r="F9" s="25"/>
    </row>
    <row r="10" spans="1:6" x14ac:dyDescent="0.25">
      <c r="A10" s="25"/>
      <c r="B10" s="25"/>
      <c r="C10" s="25"/>
      <c r="D10" s="259"/>
      <c r="E10" s="25"/>
      <c r="F10" s="25"/>
    </row>
  </sheetData>
  <sheetProtection selectLockedCells="1" selectUnlockedCells="1"/>
  <phoneticPr fontId="33" type="noConversion"/>
  <hyperlinks>
    <hyperlink ref="E1" location="Índice!A1" display="ir a índice" xr:uid="{90C78A1C-2F16-4D78-885E-1F1317D480E4}"/>
  </hyperlinks>
  <pageMargins left="0.75" right="0.75" top="0.55000000000000004" bottom="1" header="0.51180555555555551" footer="0.51180555555555551"/>
  <pageSetup scale="65" firstPageNumber="0" orientation="landscape" horizontalDpi="300" verticalDpi="300" r:id="rId1"/>
  <headerFooter alignWithMargins="0"/>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2">
    <tabColor rgb="FFBF8B2E"/>
  </sheetPr>
  <dimension ref="A1:H10"/>
  <sheetViews>
    <sheetView workbookViewId="0">
      <selection activeCell="M1" sqref="M1"/>
    </sheetView>
  </sheetViews>
  <sheetFormatPr baseColWidth="10" defaultColWidth="9.140625" defaultRowHeight="14.25" x14ac:dyDescent="0.25"/>
  <cols>
    <col min="1" max="1" width="51.28515625" style="16" bestFit="1" customWidth="1"/>
    <col min="2" max="2" width="12.5703125" style="2" customWidth="1"/>
    <col min="3" max="3" width="21.85546875" style="2" customWidth="1"/>
    <col min="4" max="4" width="20" style="2" customWidth="1"/>
    <col min="5" max="5" width="12.85546875" style="2" customWidth="1"/>
    <col min="6" max="6" width="10.5703125" style="16" customWidth="1"/>
    <col min="7" max="7" width="11.28515625" style="16" customWidth="1"/>
    <col min="8" max="8" width="11.42578125" style="14" customWidth="1"/>
    <col min="9" max="9" width="11.5703125" style="6" customWidth="1"/>
    <col min="10" max="16384" width="9.140625" style="6"/>
  </cols>
  <sheetData>
    <row r="1" spans="1:8" x14ac:dyDescent="0.25">
      <c r="A1" s="555" t="s">
        <v>1229</v>
      </c>
      <c r="B1" s="7"/>
      <c r="C1" s="18"/>
      <c r="D1" s="14"/>
      <c r="E1" s="942" t="s">
        <v>1230</v>
      </c>
      <c r="F1" s="6"/>
      <c r="G1" s="6"/>
      <c r="H1" s="6"/>
    </row>
    <row r="2" spans="1:8" x14ac:dyDescent="0.25">
      <c r="A2" s="555" t="s">
        <v>91</v>
      </c>
      <c r="B2" s="7"/>
      <c r="C2" s="18"/>
      <c r="D2" s="14"/>
      <c r="E2" s="6"/>
      <c r="F2" s="6"/>
      <c r="G2" s="6"/>
      <c r="H2" s="6"/>
    </row>
    <row r="3" spans="1:8" ht="35.25" customHeight="1" x14ac:dyDescent="0.25">
      <c r="A3" t="s">
        <v>1169</v>
      </c>
      <c r="B3" t="s">
        <v>1170</v>
      </c>
      <c r="C3" s="18"/>
      <c r="D3" s="18"/>
      <c r="E3" s="3"/>
      <c r="F3" s="31"/>
      <c r="G3" s="31"/>
    </row>
    <row r="4" spans="1:8" x14ac:dyDescent="0.25">
      <c r="A4" t="s">
        <v>371</v>
      </c>
      <c r="B4">
        <v>340</v>
      </c>
      <c r="C4" s="18"/>
      <c r="D4" s="18"/>
      <c r="E4" s="3"/>
      <c r="F4" s="31"/>
      <c r="G4" s="31"/>
    </row>
    <row r="5" spans="1:8" x14ac:dyDescent="0.25">
      <c r="A5" t="s">
        <v>372</v>
      </c>
      <c r="B5">
        <v>14443</v>
      </c>
      <c r="C5" s="18"/>
      <c r="D5" s="18"/>
      <c r="E5" s="21"/>
      <c r="F5" s="19"/>
      <c r="G5" s="19"/>
      <c r="H5" s="20"/>
    </row>
    <row r="6" spans="1:8" ht="28.5" x14ac:dyDescent="0.25">
      <c r="A6" t="s">
        <v>373</v>
      </c>
      <c r="B6">
        <v>131</v>
      </c>
      <c r="C6" s="18"/>
      <c r="D6" s="18"/>
      <c r="E6" s="21"/>
      <c r="F6" s="19"/>
      <c r="G6" s="19"/>
      <c r="H6" s="20"/>
    </row>
    <row r="7" spans="1:8" x14ac:dyDescent="0.25">
      <c r="A7" t="s">
        <v>374</v>
      </c>
      <c r="B7">
        <v>23</v>
      </c>
      <c r="C7" s="18"/>
      <c r="D7" s="18"/>
      <c r="E7" s="21"/>
      <c r="F7" s="19"/>
      <c r="G7" s="19"/>
      <c r="H7" s="20"/>
    </row>
    <row r="8" spans="1:8" x14ac:dyDescent="0.25">
      <c r="A8" t="s">
        <v>375</v>
      </c>
      <c r="B8">
        <v>53</v>
      </c>
      <c r="C8" s="18"/>
      <c r="D8" s="18"/>
      <c r="E8" s="21"/>
      <c r="F8" s="19"/>
      <c r="G8" s="19"/>
      <c r="H8" s="20"/>
    </row>
    <row r="9" spans="1:8" x14ac:dyDescent="0.25">
      <c r="A9" t="s">
        <v>376</v>
      </c>
      <c r="B9">
        <v>74</v>
      </c>
      <c r="C9" s="18"/>
      <c r="D9" s="18"/>
      <c r="E9" s="21"/>
      <c r="F9" s="19"/>
      <c r="G9" s="19"/>
      <c r="H9" s="20"/>
    </row>
    <row r="10" spans="1:8" x14ac:dyDescent="0.25">
      <c r="A10" t="s">
        <v>377</v>
      </c>
      <c r="B10">
        <v>284</v>
      </c>
    </row>
  </sheetData>
  <sheetProtection selectLockedCells="1" selectUnlockedCells="1"/>
  <phoneticPr fontId="33" type="noConversion"/>
  <hyperlinks>
    <hyperlink ref="E1" location="Índice!A1" display="ir a índice" xr:uid="{C10D984A-FC8B-4C63-A94D-B1371A413287}"/>
  </hyperlinks>
  <pageMargins left="0.75" right="0.75" top="0.47986111111111113" bottom="1" header="0.51180555555555551" footer="0.51180555555555551"/>
  <pageSetup paperSize="9" firstPageNumber="0" orientation="landscape" horizontalDpi="300" verticalDpi="300"/>
  <headerFooter alignWithMargins="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3">
    <tabColor rgb="FFBF8B2E"/>
    <pageSetUpPr fitToPage="1"/>
  </sheetPr>
  <dimension ref="A1:I28"/>
  <sheetViews>
    <sheetView zoomScaleNormal="100" workbookViewId="0">
      <selection activeCell="M1" sqref="M1"/>
    </sheetView>
  </sheetViews>
  <sheetFormatPr baseColWidth="10" defaultColWidth="9.140625" defaultRowHeight="14.25" x14ac:dyDescent="0.25"/>
  <cols>
    <col min="1" max="1" width="9.140625" style="6" customWidth="1"/>
    <col min="2" max="2" width="39.140625" style="2" customWidth="1"/>
    <col min="3" max="3" width="33.7109375" style="2" bestFit="1" customWidth="1"/>
    <col min="4" max="4" width="19.28515625" style="2" customWidth="1"/>
    <col min="5" max="5" width="12.85546875" style="2" customWidth="1"/>
    <col min="6" max="6" width="13.42578125" style="2" customWidth="1"/>
    <col min="7" max="7" width="11.5703125" style="6" customWidth="1"/>
    <col min="8" max="8" width="14.7109375" style="6" customWidth="1"/>
    <col min="9" max="9" width="10" style="6" customWidth="1"/>
    <col min="10" max="16384" width="9.140625" style="6"/>
  </cols>
  <sheetData>
    <row r="1" spans="1:8" x14ac:dyDescent="0.25">
      <c r="A1" s="555" t="s">
        <v>1228</v>
      </c>
      <c r="B1" s="6"/>
      <c r="C1" s="59"/>
      <c r="D1" s="9"/>
      <c r="E1" s="942" t="s">
        <v>1230</v>
      </c>
      <c r="F1" s="6"/>
    </row>
    <row r="2" spans="1:8" x14ac:dyDescent="0.25">
      <c r="A2" s="555" t="s">
        <v>91</v>
      </c>
      <c r="C2" s="46"/>
      <c r="D2" s="5"/>
      <c r="E2" s="5"/>
      <c r="F2" s="5"/>
    </row>
    <row r="3" spans="1:8" x14ac:dyDescent="0.25">
      <c r="A3" s="769" t="s">
        <v>244</v>
      </c>
      <c r="B3" s="769" t="s">
        <v>363</v>
      </c>
      <c r="C3" s="553" t="s">
        <v>378</v>
      </c>
      <c r="D3" s="770" t="s">
        <v>379</v>
      </c>
      <c r="E3" s="6"/>
      <c r="F3" s="6"/>
    </row>
    <row r="4" spans="1:8" ht="42.75" x14ac:dyDescent="0.25">
      <c r="A4" s="768" t="s">
        <v>246</v>
      </c>
      <c r="B4" t="s">
        <v>247</v>
      </c>
      <c r="C4" s="733">
        <v>0</v>
      </c>
      <c r="D4" s="6"/>
      <c r="E4" s="281"/>
      <c r="F4" s="6"/>
      <c r="G4" s="282"/>
      <c r="H4" s="283"/>
    </row>
    <row r="5" spans="1:8" ht="57" x14ac:dyDescent="0.25">
      <c r="A5" s="768" t="s">
        <v>248</v>
      </c>
      <c r="B5" t="s">
        <v>249</v>
      </c>
      <c r="C5" s="733">
        <v>7.1289999999999996</v>
      </c>
      <c r="D5" s="63"/>
      <c r="E5" s="281"/>
      <c r="F5" s="6"/>
      <c r="G5" s="282"/>
      <c r="H5" s="283"/>
    </row>
    <row r="6" spans="1:8" ht="42.75" x14ac:dyDescent="0.25">
      <c r="A6" s="768" t="s">
        <v>250</v>
      </c>
      <c r="B6" t="s">
        <v>251</v>
      </c>
      <c r="C6" s="733">
        <v>0</v>
      </c>
      <c r="D6" s="63"/>
      <c r="E6" s="281"/>
      <c r="F6" s="6"/>
      <c r="G6" s="282"/>
      <c r="H6" s="283"/>
    </row>
    <row r="7" spans="1:8" ht="28.5" x14ac:dyDescent="0.25">
      <c r="A7" s="768" t="s">
        <v>252</v>
      </c>
      <c r="B7" t="s">
        <v>253</v>
      </c>
      <c r="C7" s="733">
        <v>0</v>
      </c>
      <c r="D7" s="63"/>
      <c r="E7" s="281"/>
      <c r="F7" s="6"/>
      <c r="G7" s="282"/>
      <c r="H7" s="283"/>
    </row>
    <row r="8" spans="1:8" ht="42.75" x14ac:dyDescent="0.25">
      <c r="A8" s="768" t="s">
        <v>254</v>
      </c>
      <c r="B8" t="s">
        <v>255</v>
      </c>
      <c r="C8" s="733">
        <v>0</v>
      </c>
      <c r="D8" s="63"/>
      <c r="E8" s="281"/>
      <c r="F8" s="6"/>
      <c r="G8" s="282"/>
      <c r="H8" s="283"/>
    </row>
    <row r="9" spans="1:8" x14ac:dyDescent="0.25">
      <c r="A9" s="768" t="s">
        <v>256</v>
      </c>
      <c r="B9" t="s">
        <v>257</v>
      </c>
      <c r="C9" s="733">
        <v>4682.3922600000005</v>
      </c>
      <c r="D9" s="63"/>
      <c r="E9" s="281"/>
      <c r="F9" s="6"/>
      <c r="G9" s="282"/>
      <c r="H9" s="283"/>
    </row>
    <row r="10" spans="1:8" x14ac:dyDescent="0.25">
      <c r="A10" s="768" t="s">
        <v>258</v>
      </c>
      <c r="B10" t="s">
        <v>259</v>
      </c>
      <c r="C10" s="733">
        <v>9996.1423119999999</v>
      </c>
      <c r="D10" s="63"/>
      <c r="E10" s="281"/>
      <c r="F10" s="6"/>
      <c r="G10" s="282"/>
      <c r="H10" s="283"/>
    </row>
    <row r="11" spans="1:8" ht="71.25" x14ac:dyDescent="0.25">
      <c r="A11" s="768" t="s">
        <v>260</v>
      </c>
      <c r="B11" t="s">
        <v>261</v>
      </c>
      <c r="C11" s="733">
        <v>3472.1610299999998</v>
      </c>
      <c r="D11" s="63"/>
      <c r="E11" s="281"/>
      <c r="F11" s="6"/>
      <c r="G11" s="282"/>
      <c r="H11" s="283"/>
    </row>
    <row r="12" spans="1:8" x14ac:dyDescent="0.25">
      <c r="A12" s="768" t="s">
        <v>262</v>
      </c>
      <c r="B12" t="s">
        <v>263</v>
      </c>
      <c r="C12" s="733">
        <v>62.546500000000002</v>
      </c>
      <c r="D12" s="63"/>
      <c r="E12" s="281"/>
      <c r="F12" s="6"/>
      <c r="G12" s="282"/>
      <c r="H12" s="283"/>
    </row>
    <row r="13" spans="1:8" x14ac:dyDescent="0.25">
      <c r="A13" s="768">
        <v>10</v>
      </c>
      <c r="B13" t="s">
        <v>264</v>
      </c>
      <c r="C13" s="733">
        <v>25768.061000000002</v>
      </c>
      <c r="D13" s="63"/>
      <c r="E13" s="281"/>
      <c r="F13" s="6"/>
      <c r="G13" s="282"/>
      <c r="H13" s="283"/>
    </row>
    <row r="14" spans="1:8" ht="57" x14ac:dyDescent="0.25">
      <c r="A14" s="768">
        <v>11</v>
      </c>
      <c r="B14" t="s">
        <v>265</v>
      </c>
      <c r="C14" s="733">
        <v>1283.6264799999999</v>
      </c>
      <c r="D14" s="63"/>
      <c r="E14" s="281"/>
      <c r="F14" s="6"/>
      <c r="G14" s="282"/>
      <c r="H14" s="283"/>
    </row>
    <row r="15" spans="1:8" ht="42.75" x14ac:dyDescent="0.25">
      <c r="A15" s="768">
        <v>12</v>
      </c>
      <c r="B15" t="s">
        <v>266</v>
      </c>
      <c r="C15" s="733">
        <v>2883.9368999999997</v>
      </c>
      <c r="D15" s="63"/>
      <c r="E15" s="281"/>
      <c r="F15" s="6"/>
      <c r="G15" s="282"/>
      <c r="H15" s="283"/>
    </row>
    <row r="16" spans="1:8" ht="42.75" x14ac:dyDescent="0.25">
      <c r="A16" s="768">
        <v>13</v>
      </c>
      <c r="B16" t="s">
        <v>267</v>
      </c>
      <c r="C16" s="733">
        <v>8872.93</v>
      </c>
      <c r="D16" s="63"/>
      <c r="E16" s="281"/>
      <c r="F16" s="6"/>
      <c r="G16" s="282"/>
      <c r="H16" s="283"/>
    </row>
    <row r="17" spans="1:9" ht="42.75" x14ac:dyDescent="0.25">
      <c r="A17" s="768">
        <v>14</v>
      </c>
      <c r="B17" t="s">
        <v>268</v>
      </c>
      <c r="C17" s="733">
        <v>1196.4913799999999</v>
      </c>
      <c r="D17" s="63"/>
      <c r="E17" s="281"/>
      <c r="F17" s="6"/>
      <c r="G17" s="282"/>
      <c r="H17" s="283"/>
    </row>
    <row r="18" spans="1:9" ht="57" x14ac:dyDescent="0.25">
      <c r="A18" s="768">
        <v>15</v>
      </c>
      <c r="B18" t="s">
        <v>269</v>
      </c>
      <c r="C18" s="733">
        <v>5473.0767000000005</v>
      </c>
      <c r="D18" s="63"/>
      <c r="E18" s="281"/>
      <c r="F18" s="6"/>
      <c r="G18" s="282"/>
      <c r="H18" s="283"/>
    </row>
    <row r="19" spans="1:9" ht="28.5" x14ac:dyDescent="0.25">
      <c r="A19" s="768">
        <v>16</v>
      </c>
      <c r="B19" t="s">
        <v>270</v>
      </c>
      <c r="C19" s="733">
        <v>14615.659674999999</v>
      </c>
      <c r="D19" s="63"/>
      <c r="E19" s="281"/>
      <c r="F19" s="6"/>
      <c r="G19" s="282"/>
      <c r="H19" s="283"/>
    </row>
    <row r="20" spans="1:9" ht="42.75" x14ac:dyDescent="0.25">
      <c r="A20" s="768">
        <v>17</v>
      </c>
      <c r="B20" t="s">
        <v>271</v>
      </c>
      <c r="C20" s="733">
        <v>9070.0986199999988</v>
      </c>
      <c r="D20" s="63"/>
      <c r="E20" s="281"/>
      <c r="F20" s="6"/>
      <c r="G20" s="282"/>
      <c r="H20" s="283"/>
    </row>
    <row r="21" spans="1:9" ht="71.25" x14ac:dyDescent="0.25">
      <c r="A21" s="768">
        <v>18</v>
      </c>
      <c r="B21" t="s">
        <v>272</v>
      </c>
      <c r="C21" s="733">
        <v>1321.3176780000001</v>
      </c>
      <c r="D21" s="63"/>
      <c r="E21" s="281"/>
      <c r="F21" s="6"/>
      <c r="G21" s="282"/>
      <c r="H21" s="283"/>
    </row>
    <row r="22" spans="1:9" ht="71.25" x14ac:dyDescent="0.25">
      <c r="A22" s="768">
        <v>19</v>
      </c>
      <c r="B22" t="s">
        <v>273</v>
      </c>
      <c r="C22" s="733">
        <v>6634.5880000000006</v>
      </c>
      <c r="D22" s="63"/>
      <c r="E22" s="281"/>
      <c r="F22" s="6"/>
      <c r="G22" s="282"/>
      <c r="H22" s="283"/>
    </row>
    <row r="23" spans="1:9" ht="71.25" x14ac:dyDescent="0.25">
      <c r="A23" s="768">
        <v>20</v>
      </c>
      <c r="B23" t="s">
        <v>274</v>
      </c>
      <c r="C23" s="733">
        <v>2422.4438</v>
      </c>
      <c r="D23" s="63"/>
      <c r="E23" s="281"/>
      <c r="F23" s="6"/>
      <c r="G23" s="282"/>
      <c r="H23" s="283"/>
    </row>
    <row r="24" spans="1:9" x14ac:dyDescent="0.25">
      <c r="A24" t="s">
        <v>136</v>
      </c>
      <c r="B24"/>
      <c r="C24" s="733">
        <f>SUM(C4:C23)</f>
        <v>97762.601335000014</v>
      </c>
      <c r="D24" s="6"/>
      <c r="E24" s="281"/>
      <c r="F24" s="64"/>
      <c r="G24" s="284"/>
      <c r="H24" s="285"/>
      <c r="I24" s="286"/>
    </row>
    <row r="25" spans="1:9" x14ac:dyDescent="0.25">
      <c r="A25" s="181"/>
      <c r="B25" s="181"/>
      <c r="C25" s="181"/>
      <c r="D25" s="181"/>
      <c r="F25" s="6"/>
    </row>
    <row r="26" spans="1:9" x14ac:dyDescent="0.25">
      <c r="A26" s="181"/>
      <c r="B26" s="181"/>
      <c r="C26" s="181"/>
      <c r="D26" s="181"/>
      <c r="F26" s="6"/>
    </row>
    <row r="27" spans="1:9" x14ac:dyDescent="0.25">
      <c r="A27" s="182"/>
      <c r="B27" s="181"/>
      <c r="C27" s="181"/>
      <c r="D27" s="181"/>
      <c r="F27" s="6"/>
    </row>
    <row r="28" spans="1:9" x14ac:dyDescent="0.25">
      <c r="A28" s="181"/>
      <c r="B28" s="181"/>
      <c r="C28" s="181"/>
      <c r="D28" s="181"/>
      <c r="F28" s="6"/>
    </row>
  </sheetData>
  <sheetProtection selectLockedCells="1" selectUnlockedCells="1"/>
  <phoneticPr fontId="33" type="noConversion"/>
  <hyperlinks>
    <hyperlink ref="E1" location="Índice!A1" display="ir a índice" xr:uid="{DB7B3D35-DCA1-450C-93A3-1947172E37F1}"/>
  </hyperlinks>
  <pageMargins left="0.75" right="0.35972222222222222" top="0.37013888888888891" bottom="0.75" header="0.51180555555555551" footer="0.51180555555555551"/>
  <pageSetup paperSize="9" firstPageNumber="0" orientation="landscape" horizontalDpi="300" verticalDpi="300" r:id="rId1"/>
  <headerFooter alignWithMargins="0"/>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4">
    <tabColor rgb="FFBF8B2E"/>
    <pageSetUpPr fitToPage="1"/>
  </sheetPr>
  <dimension ref="A1:E20"/>
  <sheetViews>
    <sheetView workbookViewId="0">
      <selection activeCell="M1" sqref="M1"/>
    </sheetView>
  </sheetViews>
  <sheetFormatPr baseColWidth="10" defaultColWidth="9.140625" defaultRowHeight="14.25" x14ac:dyDescent="0.25"/>
  <cols>
    <col min="1" max="1" width="66.140625" style="6" bestFit="1" customWidth="1"/>
    <col min="2" max="2" width="11.7109375" style="6" customWidth="1"/>
    <col min="3" max="4" width="9.140625" style="6"/>
    <col min="5" max="5" width="12.85546875" style="6" customWidth="1"/>
    <col min="6" max="16384" width="9.140625" style="6"/>
  </cols>
  <sheetData>
    <row r="1" spans="1:5" x14ac:dyDescent="0.25">
      <c r="A1" s="555" t="s">
        <v>1171</v>
      </c>
      <c r="E1" s="942" t="s">
        <v>1230</v>
      </c>
    </row>
    <row r="2" spans="1:5" x14ac:dyDescent="0.25">
      <c r="A2" s="555" t="s">
        <v>91</v>
      </c>
    </row>
    <row r="3" spans="1:5" x14ac:dyDescent="0.25">
      <c r="A3" t="s">
        <v>380</v>
      </c>
      <c r="B3" t="s">
        <v>276</v>
      </c>
    </row>
    <row r="4" spans="1:5" ht="24" customHeight="1" x14ac:dyDescent="0.25">
      <c r="A4" t="s">
        <v>381</v>
      </c>
      <c r="B4">
        <v>2119</v>
      </c>
    </row>
    <row r="5" spans="1:5" x14ac:dyDescent="0.25">
      <c r="A5" t="s">
        <v>382</v>
      </c>
      <c r="B5">
        <v>51994</v>
      </c>
    </row>
    <row r="6" spans="1:5" ht="24" customHeight="1" x14ac:dyDescent="0.25">
      <c r="A6" t="s">
        <v>383</v>
      </c>
      <c r="B6">
        <v>54953</v>
      </c>
    </row>
    <row r="7" spans="1:5" x14ac:dyDescent="0.25">
      <c r="A7" t="s">
        <v>384</v>
      </c>
      <c r="B7">
        <v>109067</v>
      </c>
    </row>
    <row r="8" spans="1:5" ht="24" customHeight="1" x14ac:dyDescent="0.25">
      <c r="A8" t="s">
        <v>385</v>
      </c>
      <c r="B8">
        <v>93019</v>
      </c>
    </row>
    <row r="9" spans="1:5" x14ac:dyDescent="0.25">
      <c r="A9" t="s">
        <v>136</v>
      </c>
      <c r="B9">
        <v>202086</v>
      </c>
    </row>
    <row r="16" spans="1:5" x14ac:dyDescent="0.25">
      <c r="A16" s="34"/>
    </row>
    <row r="17" spans="1:1" hidden="1" x14ac:dyDescent="0.25">
      <c r="A17" s="34"/>
    </row>
    <row r="18" spans="1:1" hidden="1" x14ac:dyDescent="0.25">
      <c r="A18" s="20"/>
    </row>
    <row r="19" spans="1:1" hidden="1" x14ac:dyDescent="0.25">
      <c r="A19" s="20"/>
    </row>
    <row r="20" spans="1:1" hidden="1" x14ac:dyDescent="0.25">
      <c r="A20" s="14"/>
    </row>
  </sheetData>
  <sheetProtection selectLockedCells="1" selectUnlockedCells="1"/>
  <phoneticPr fontId="33" type="noConversion"/>
  <hyperlinks>
    <hyperlink ref="E1" location="Índice!A1" display="ir a índice" xr:uid="{06819480-D485-4772-AB6C-95E5F18D9503}"/>
  </hyperlinks>
  <pageMargins left="0.75" right="0.75" top="0.4201388888888889" bottom="1" header="0.51180555555555551" footer="0.51180555555555551"/>
  <pageSetup paperSize="9" firstPageNumber="0" orientation="landscape" horizontalDpi="300" verticalDpi="300"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BF8B2E"/>
  </sheetPr>
  <dimension ref="A1:M18"/>
  <sheetViews>
    <sheetView workbookViewId="0">
      <selection activeCell="M1" sqref="M1"/>
    </sheetView>
  </sheetViews>
  <sheetFormatPr baseColWidth="10" defaultColWidth="11.42578125" defaultRowHeight="14.25" x14ac:dyDescent="0.25"/>
  <cols>
    <col min="1" max="1" width="80.42578125" style="563" customWidth="1"/>
    <col min="2" max="2" width="11.42578125" style="563" customWidth="1"/>
    <col min="3" max="4" width="11.7109375" style="563" customWidth="1"/>
    <col min="5" max="5" width="12.85546875" style="563" customWidth="1"/>
    <col min="6" max="11" width="11.7109375" style="563" customWidth="1"/>
    <col min="12" max="16384" width="11.42578125" style="563"/>
  </cols>
  <sheetData>
    <row r="1" spans="1:13" x14ac:dyDescent="0.25">
      <c r="A1" s="555" t="s">
        <v>1054</v>
      </c>
      <c r="E1" s="942" t="s">
        <v>1230</v>
      </c>
    </row>
    <row r="2" spans="1:13" x14ac:dyDescent="0.25">
      <c r="A2" s="555" t="s">
        <v>38</v>
      </c>
    </row>
    <row r="3" spans="1:13" x14ac:dyDescent="0.25">
      <c r="A3" s="599" t="s">
        <v>0</v>
      </c>
      <c r="B3" s="600" t="s">
        <v>1043</v>
      </c>
      <c r="C3" s="600" t="s">
        <v>1044</v>
      </c>
      <c r="D3" s="600" t="s">
        <v>1045</v>
      </c>
      <c r="E3" s="600" t="s">
        <v>1046</v>
      </c>
      <c r="F3" s="600" t="s">
        <v>1047</v>
      </c>
      <c r="G3" s="600" t="s">
        <v>1048</v>
      </c>
      <c r="H3" s="600" t="s">
        <v>1049</v>
      </c>
      <c r="I3" s="600" t="s">
        <v>1050</v>
      </c>
      <c r="J3" s="600" t="s">
        <v>1051</v>
      </c>
      <c r="K3" s="601" t="s">
        <v>1052</v>
      </c>
      <c r="L3" s="601" t="s">
        <v>1053</v>
      </c>
      <c r="M3" s="564"/>
    </row>
    <row r="4" spans="1:13" x14ac:dyDescent="0.25">
      <c r="A4" s="589" t="s">
        <v>1</v>
      </c>
      <c r="B4" s="565">
        <v>4314515</v>
      </c>
      <c r="C4" s="565">
        <v>3877865</v>
      </c>
      <c r="D4" s="566">
        <v>4102018</v>
      </c>
      <c r="E4" s="566">
        <v>4335284</v>
      </c>
      <c r="F4" s="566">
        <v>3703266</v>
      </c>
      <c r="G4" s="565">
        <v>4416289</v>
      </c>
      <c r="H4" s="567">
        <v>3801798</v>
      </c>
      <c r="I4" s="567">
        <v>3303921.0615680004</v>
      </c>
      <c r="J4" s="567">
        <v>2793174</v>
      </c>
      <c r="K4" s="568">
        <v>2978287.1477229996</v>
      </c>
      <c r="L4" s="593">
        <v>3103808.9259169996</v>
      </c>
      <c r="M4" s="564">
        <f>SUM(B4:L4)</f>
        <v>40730226.135207996</v>
      </c>
    </row>
    <row r="5" spans="1:13" ht="28.5" x14ac:dyDescent="0.25">
      <c r="A5" s="590" t="s">
        <v>2</v>
      </c>
      <c r="B5" s="570" t="s">
        <v>3</v>
      </c>
      <c r="C5" s="570" t="s">
        <v>4</v>
      </c>
      <c r="D5" s="571" t="s">
        <v>5</v>
      </c>
      <c r="E5" s="571" t="s">
        <v>6</v>
      </c>
      <c r="F5" s="571" t="s">
        <v>7</v>
      </c>
      <c r="G5" s="570" t="s">
        <v>8</v>
      </c>
      <c r="H5" s="572" t="s">
        <v>9</v>
      </c>
      <c r="I5" s="573" t="s">
        <v>22</v>
      </c>
      <c r="J5" s="574" t="s">
        <v>10</v>
      </c>
      <c r="K5" s="575" t="s">
        <v>11</v>
      </c>
      <c r="L5" s="594" t="s">
        <v>12</v>
      </c>
      <c r="M5" s="564"/>
    </row>
    <row r="6" spans="1:13" x14ac:dyDescent="0.25">
      <c r="A6" s="591" t="s">
        <v>1042</v>
      </c>
      <c r="B6" s="576">
        <v>3485030</v>
      </c>
      <c r="C6" s="576">
        <v>3485030</v>
      </c>
      <c r="D6" s="576">
        <v>3485030</v>
      </c>
      <c r="E6" s="576">
        <v>3485030</v>
      </c>
      <c r="F6" s="576">
        <v>3485030</v>
      </c>
      <c r="G6" s="576">
        <v>3485030</v>
      </c>
      <c r="H6" s="577">
        <v>3485030</v>
      </c>
      <c r="I6" s="577">
        <v>3485030</v>
      </c>
      <c r="J6" s="577">
        <v>3485030</v>
      </c>
      <c r="K6" s="578">
        <v>3485030</v>
      </c>
      <c r="L6" s="584">
        <f>K6</f>
        <v>3485030</v>
      </c>
      <c r="M6" s="564"/>
    </row>
    <row r="7" spans="1:13" x14ac:dyDescent="0.25">
      <c r="A7" s="591" t="s">
        <v>31</v>
      </c>
      <c r="B7" s="576">
        <f>B4-B8</f>
        <v>1752571</v>
      </c>
      <c r="C7" s="576">
        <f t="shared" ref="C7:L7" si="0">C4-C8</f>
        <v>1353913</v>
      </c>
      <c r="D7" s="576">
        <f t="shared" si="0"/>
        <v>1713459</v>
      </c>
      <c r="E7" s="576">
        <f t="shared" si="0"/>
        <v>1763469</v>
      </c>
      <c r="F7" s="576">
        <f t="shared" si="0"/>
        <v>1229541.0398590001</v>
      </c>
      <c r="G7" s="576">
        <f t="shared" si="0"/>
        <v>1786952.0751269995</v>
      </c>
      <c r="H7" s="569">
        <f t="shared" si="0"/>
        <v>1204735</v>
      </c>
      <c r="I7" s="569">
        <f t="shared" si="0"/>
        <v>616445.32700000005</v>
      </c>
      <c r="J7" s="569">
        <f t="shared" si="0"/>
        <v>151220</v>
      </c>
      <c r="K7" s="569">
        <f t="shared" si="0"/>
        <v>59289.274000000209</v>
      </c>
      <c r="L7" s="593">
        <f t="shared" si="0"/>
        <v>103907.66809999989</v>
      </c>
      <c r="M7" s="564"/>
    </row>
    <row r="8" spans="1:13" x14ac:dyDescent="0.25">
      <c r="A8" s="589" t="s">
        <v>13</v>
      </c>
      <c r="B8" s="565">
        <v>2561944</v>
      </c>
      <c r="C8" s="565">
        <v>2523952</v>
      </c>
      <c r="D8" s="566">
        <v>2388559</v>
      </c>
      <c r="E8" s="566">
        <v>2571815</v>
      </c>
      <c r="F8" s="566">
        <v>2473724.9601409999</v>
      </c>
      <c r="G8" s="565">
        <v>2629336.9248730005</v>
      </c>
      <c r="H8" s="567">
        <v>2597063</v>
      </c>
      <c r="I8" s="568">
        <v>2687475.7345680003</v>
      </c>
      <c r="J8" s="568">
        <v>2641954</v>
      </c>
      <c r="K8" s="568">
        <v>2918997.8737229994</v>
      </c>
      <c r="L8" s="593">
        <v>2999901.2578169997</v>
      </c>
      <c r="M8" s="564">
        <f>SUM(B8:L8)</f>
        <v>28994723.751121998</v>
      </c>
    </row>
    <row r="9" spans="1:13" ht="28.5" x14ac:dyDescent="0.25">
      <c r="A9" s="590" t="s">
        <v>14</v>
      </c>
      <c r="B9" s="580" t="s">
        <v>15</v>
      </c>
      <c r="C9" s="580" t="s">
        <v>16</v>
      </c>
      <c r="D9" s="581" t="s">
        <v>17</v>
      </c>
      <c r="E9" s="581" t="s">
        <v>18</v>
      </c>
      <c r="F9" s="582" t="s">
        <v>19</v>
      </c>
      <c r="G9" s="580" t="s">
        <v>20</v>
      </c>
      <c r="H9" s="573" t="s">
        <v>21</v>
      </c>
      <c r="I9" s="573" t="s">
        <v>32</v>
      </c>
      <c r="J9" s="573" t="s">
        <v>33</v>
      </c>
      <c r="K9" s="583" t="s">
        <v>34</v>
      </c>
      <c r="L9" s="595" t="s">
        <v>35</v>
      </c>
      <c r="M9" s="564"/>
    </row>
    <row r="10" spans="1:13" x14ac:dyDescent="0.25">
      <c r="A10" s="592" t="s">
        <v>36</v>
      </c>
      <c r="B10" s="579">
        <f t="shared" ref="B10:L10" si="1">B6*0.9</f>
        <v>3136527</v>
      </c>
      <c r="C10" s="579">
        <f t="shared" si="1"/>
        <v>3136527</v>
      </c>
      <c r="D10" s="579">
        <f t="shared" si="1"/>
        <v>3136527</v>
      </c>
      <c r="E10" s="579">
        <f t="shared" si="1"/>
        <v>3136527</v>
      </c>
      <c r="F10" s="579">
        <f t="shared" si="1"/>
        <v>3136527</v>
      </c>
      <c r="G10" s="579">
        <f t="shared" si="1"/>
        <v>3136527</v>
      </c>
      <c r="H10" s="579">
        <f t="shared" si="1"/>
        <v>3136527</v>
      </c>
      <c r="I10" s="579">
        <v>3136527</v>
      </c>
      <c r="J10" s="579">
        <f t="shared" si="1"/>
        <v>3136527</v>
      </c>
      <c r="K10" s="584">
        <f t="shared" si="1"/>
        <v>3136527</v>
      </c>
      <c r="L10" s="584">
        <f t="shared" si="1"/>
        <v>3136527</v>
      </c>
      <c r="M10" s="564"/>
    </row>
    <row r="11" spans="1:13" x14ac:dyDescent="0.25">
      <c r="A11" s="596" t="s">
        <v>37</v>
      </c>
      <c r="B11" s="597">
        <f>B6*0.87</f>
        <v>3031976.1</v>
      </c>
      <c r="C11" s="597">
        <f t="shared" ref="C11:L11" si="2">C6*0.87</f>
        <v>3031976.1</v>
      </c>
      <c r="D11" s="597">
        <f t="shared" si="2"/>
        <v>3031976.1</v>
      </c>
      <c r="E11" s="597">
        <f t="shared" si="2"/>
        <v>3031976.1</v>
      </c>
      <c r="F11" s="597">
        <f t="shared" si="2"/>
        <v>3031976.1</v>
      </c>
      <c r="G11" s="597">
        <f t="shared" si="2"/>
        <v>3031976.1</v>
      </c>
      <c r="H11" s="597">
        <f t="shared" si="2"/>
        <v>3031976.1</v>
      </c>
      <c r="I11" s="597">
        <f t="shared" si="2"/>
        <v>3031976.1</v>
      </c>
      <c r="J11" s="597">
        <f t="shared" si="2"/>
        <v>3031976.1</v>
      </c>
      <c r="K11" s="598">
        <f t="shared" si="2"/>
        <v>3031976.1</v>
      </c>
      <c r="L11" s="598">
        <f t="shared" si="2"/>
        <v>3031976.1</v>
      </c>
      <c r="M11" s="564"/>
    </row>
    <row r="12" spans="1:13" x14ac:dyDescent="0.25">
      <c r="A12" s="585"/>
      <c r="B12" s="585"/>
      <c r="C12" s="585"/>
      <c r="D12" s="585"/>
      <c r="E12" s="585"/>
      <c r="F12" s="585"/>
      <c r="G12" s="585"/>
      <c r="H12" s="585"/>
      <c r="I12" s="585"/>
      <c r="J12" s="585"/>
      <c r="K12" s="585"/>
    </row>
    <row r="17" spans="9:11" x14ac:dyDescent="0.25">
      <c r="I17" s="586"/>
      <c r="J17" s="586"/>
      <c r="K17" s="586"/>
    </row>
    <row r="18" spans="9:11" x14ac:dyDescent="0.25">
      <c r="I18" s="587"/>
      <c r="J18" s="587"/>
      <c r="K18" s="587"/>
    </row>
  </sheetData>
  <hyperlinks>
    <hyperlink ref="E1" location="Índice!A1" display="ir a índice" xr:uid="{DC34B858-DB17-45FD-8A3C-9449677A117B}"/>
  </hyperlinks>
  <pageMargins left="0.7" right="0.7" top="0.75" bottom="0.75" header="0.3" footer="0.3"/>
  <pageSetup paperSize="9" orientation="portrait" r:id="rId1"/>
  <drawing r:id="rId2"/>
  <legacyDrawing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EEEC-3F6B-40D7-A9F4-B86E7092C7A4}">
  <sheetPr>
    <tabColor rgb="FFBF8B2E"/>
  </sheetPr>
  <dimension ref="A1:E6"/>
  <sheetViews>
    <sheetView workbookViewId="0">
      <selection activeCell="M1" sqref="M1"/>
    </sheetView>
  </sheetViews>
  <sheetFormatPr baseColWidth="10" defaultRowHeight="14.25" x14ac:dyDescent="0.25"/>
  <cols>
    <col min="1" max="2" width="32.140625" customWidth="1"/>
    <col min="5" max="5" width="12.85546875" customWidth="1"/>
  </cols>
  <sheetData>
    <row r="1" spans="1:5" x14ac:dyDescent="0.25">
      <c r="A1" s="555" t="s">
        <v>1173</v>
      </c>
      <c r="E1" s="942" t="s">
        <v>1230</v>
      </c>
    </row>
    <row r="2" spans="1:5" x14ac:dyDescent="0.25">
      <c r="A2" s="555" t="s">
        <v>91</v>
      </c>
    </row>
    <row r="3" spans="1:5" x14ac:dyDescent="0.25">
      <c r="A3" t="s">
        <v>1138</v>
      </c>
      <c r="B3" t="s">
        <v>276</v>
      </c>
    </row>
    <row r="4" spans="1:5" x14ac:dyDescent="0.25">
      <c r="A4" t="s">
        <v>386</v>
      </c>
      <c r="B4">
        <v>59276</v>
      </c>
    </row>
    <row r="5" spans="1:5" x14ac:dyDescent="0.25">
      <c r="A5" t="s">
        <v>1172</v>
      </c>
      <c r="B5">
        <v>84929</v>
      </c>
    </row>
    <row r="6" spans="1:5" x14ac:dyDescent="0.25">
      <c r="A6" t="s">
        <v>387</v>
      </c>
      <c r="B6">
        <v>57881</v>
      </c>
    </row>
  </sheetData>
  <hyperlinks>
    <hyperlink ref="E1" location="Índice!A1" display="ir a índice" xr:uid="{BC488C0F-A9FD-489E-8166-5482FAC3C196}"/>
  </hyperlinks>
  <pageMargins left="0.7" right="0.7" top="0.75" bottom="0.75" header="0.3" footer="0.3"/>
  <pageSetup paperSize="9"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5">
    <tabColor rgb="FFBF8B2E"/>
    <pageSetUpPr fitToPage="1"/>
  </sheetPr>
  <dimension ref="A1:K39"/>
  <sheetViews>
    <sheetView zoomScaleNormal="100" workbookViewId="0">
      <selection activeCell="M1" sqref="M1"/>
    </sheetView>
  </sheetViews>
  <sheetFormatPr baseColWidth="10" defaultColWidth="9.140625" defaultRowHeight="14.25" x14ac:dyDescent="0.25"/>
  <cols>
    <col min="1" max="1" width="31.5703125" style="2" customWidth="1"/>
    <col min="2" max="2" width="20.85546875" style="2" customWidth="1"/>
    <col min="3" max="3" width="22.5703125" style="2" customWidth="1"/>
    <col min="4" max="4" width="18.85546875" style="2" customWidth="1"/>
    <col min="5" max="5" width="12.85546875" style="2" customWidth="1"/>
    <col min="6" max="6" width="15.42578125" style="2" customWidth="1"/>
    <col min="7" max="7" width="11.140625" style="16" customWidth="1"/>
    <col min="8" max="8" width="12.42578125" style="16" customWidth="1"/>
    <col min="9" max="9" width="12.28515625" style="16" customWidth="1"/>
    <col min="10" max="10" width="16.5703125" style="14" customWidth="1"/>
    <col min="11" max="11" width="11.5703125" style="6" customWidth="1"/>
    <col min="12" max="16384" width="9.140625" style="6"/>
  </cols>
  <sheetData>
    <row r="1" spans="1:11" x14ac:dyDescent="0.25">
      <c r="A1" s="555" t="s">
        <v>1174</v>
      </c>
      <c r="B1" s="9"/>
      <c r="C1" s="6"/>
      <c r="D1" s="6"/>
      <c r="E1" s="942" t="s">
        <v>1230</v>
      </c>
      <c r="F1" s="14"/>
      <c r="G1" s="6"/>
      <c r="H1" s="6"/>
    </row>
    <row r="2" spans="1:11" x14ac:dyDescent="0.25">
      <c r="A2" s="555" t="s">
        <v>91</v>
      </c>
      <c r="B2" s="7"/>
      <c r="D2" s="18"/>
      <c r="E2" s="18"/>
      <c r="G2" s="19"/>
      <c r="H2" s="19"/>
      <c r="I2" s="19"/>
      <c r="J2" s="20"/>
    </row>
    <row r="3" spans="1:11" ht="42.75" x14ac:dyDescent="0.25">
      <c r="A3" t="s">
        <v>1008</v>
      </c>
      <c r="B3" t="s">
        <v>388</v>
      </c>
      <c r="C3" t="s">
        <v>389</v>
      </c>
      <c r="D3" t="s">
        <v>390</v>
      </c>
      <c r="E3" t="s">
        <v>391</v>
      </c>
      <c r="F3" t="s">
        <v>136</v>
      </c>
      <c r="G3" s="232"/>
      <c r="H3" s="219"/>
      <c r="I3" s="95"/>
      <c r="J3" s="95"/>
      <c r="K3" s="95"/>
    </row>
    <row r="4" spans="1:11" ht="28.5" x14ac:dyDescent="0.25">
      <c r="A4" t="s">
        <v>392</v>
      </c>
      <c r="B4">
        <v>51994.29752</v>
      </c>
      <c r="C4">
        <v>54953.023419999998</v>
      </c>
      <c r="D4">
        <v>93019.206137999921</v>
      </c>
      <c r="E4">
        <v>2119.3588250000003</v>
      </c>
      <c r="F4">
        <v>202085.8859029999</v>
      </c>
      <c r="I4" s="6"/>
      <c r="J4" s="6"/>
    </row>
    <row r="5" spans="1:11" x14ac:dyDescent="0.25">
      <c r="A5" s="3"/>
      <c r="B5" s="7"/>
      <c r="D5" s="18"/>
      <c r="E5" s="18"/>
      <c r="F5" s="21"/>
      <c r="G5" s="19"/>
      <c r="H5" s="19"/>
      <c r="I5" s="19"/>
      <c r="J5" s="20"/>
    </row>
    <row r="6" spans="1:11" x14ac:dyDescent="0.25">
      <c r="A6" s="3"/>
      <c r="B6" s="7"/>
      <c r="D6" s="18"/>
      <c r="E6" s="18"/>
      <c r="F6" s="21"/>
      <c r="G6" s="19"/>
      <c r="H6" s="19"/>
      <c r="I6" s="19"/>
      <c r="J6" s="20"/>
    </row>
    <row r="7" spans="1:11" x14ac:dyDescent="0.25">
      <c r="A7" s="3"/>
      <c r="B7" s="7"/>
      <c r="D7" s="18"/>
      <c r="E7" s="18"/>
      <c r="F7" s="3"/>
      <c r="G7" s="31"/>
      <c r="H7" s="31"/>
      <c r="I7" s="17"/>
    </row>
    <row r="39" spans="1:9" s="184" customFormat="1" x14ac:dyDescent="0.25">
      <c r="A39" s="239"/>
      <c r="B39" s="238"/>
      <c r="C39" s="238"/>
      <c r="D39" s="238"/>
      <c r="E39" s="238"/>
      <c r="F39" s="238"/>
      <c r="G39" s="240"/>
      <c r="H39" s="240"/>
      <c r="I39" s="241"/>
    </row>
  </sheetData>
  <sheetProtection selectLockedCells="1" selectUnlockedCells="1"/>
  <phoneticPr fontId="33" type="noConversion"/>
  <hyperlinks>
    <hyperlink ref="E1" location="Índice!A1" display="ir a índice" xr:uid="{66B0364D-F017-4FF4-96AD-6355D7097E9C}"/>
  </hyperlinks>
  <pageMargins left="0.75" right="0.75" top="0.35" bottom="1" header="0.51180555555555551" footer="0.51180555555555551"/>
  <pageSetup paperSize="9" scale="89" firstPageNumber="0" orientation="landscape" horizontalDpi="300" verticalDpi="300" r:id="rId1"/>
  <headerFooter alignWithMargins="0"/>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6">
    <tabColor rgb="FFBF8B2E"/>
    <pageSetUpPr fitToPage="1"/>
  </sheetPr>
  <dimension ref="A1:V18"/>
  <sheetViews>
    <sheetView zoomScaleNormal="100" workbookViewId="0">
      <selection activeCell="M1" sqref="M1"/>
    </sheetView>
  </sheetViews>
  <sheetFormatPr baseColWidth="10" defaultColWidth="9.140625" defaultRowHeight="14.25" x14ac:dyDescent="0.25"/>
  <cols>
    <col min="1" max="1" width="52.7109375" style="2" customWidth="1"/>
    <col min="2" max="4" width="9.7109375" style="2" customWidth="1"/>
    <col min="5" max="5" width="12.85546875" style="2" customWidth="1"/>
    <col min="6" max="6" width="14.5703125" style="2" customWidth="1"/>
    <col min="7" max="7" width="13.42578125" style="2" customWidth="1"/>
    <col min="8" max="8" width="13.85546875" style="2" customWidth="1"/>
    <col min="9" max="9" width="15.28515625" style="2" customWidth="1"/>
    <col min="10" max="13" width="9.7109375" style="16" customWidth="1"/>
    <col min="14" max="14" width="13.28515625" style="16" customWidth="1"/>
    <col min="15" max="15" width="13.85546875" style="16" customWidth="1"/>
    <col min="16" max="16" width="16.140625" style="6" customWidth="1"/>
    <col min="17" max="17" width="10.5703125" style="6" customWidth="1"/>
    <col min="18" max="18" width="14.85546875" style="6" customWidth="1"/>
    <col min="19" max="19" width="15.85546875" style="6" customWidth="1"/>
    <col min="20" max="20" width="5.5703125" style="6" customWidth="1"/>
    <col min="21" max="21" width="9.140625" style="6"/>
    <col min="22" max="22" width="9.140625" style="6" customWidth="1"/>
    <col min="23" max="16384" width="9.140625" style="6"/>
  </cols>
  <sheetData>
    <row r="1" spans="1:22" x14ac:dyDescent="0.25">
      <c r="A1" s="555" t="s">
        <v>1175</v>
      </c>
      <c r="B1" s="771"/>
      <c r="C1" s="771"/>
      <c r="D1" s="771"/>
      <c r="E1" s="942" t="s">
        <v>1230</v>
      </c>
      <c r="F1" s="771"/>
      <c r="G1" s="771"/>
      <c r="H1" s="771"/>
      <c r="I1" s="772"/>
      <c r="J1" s="771"/>
      <c r="K1" s="771"/>
      <c r="L1" s="771"/>
      <c r="M1" s="771"/>
      <c r="N1" s="771"/>
      <c r="O1" s="773"/>
    </row>
    <row r="2" spans="1:22" x14ac:dyDescent="0.25">
      <c r="A2" s="555" t="s">
        <v>423</v>
      </c>
      <c r="B2" s="775"/>
      <c r="C2" s="775"/>
      <c r="D2" s="775"/>
      <c r="E2" s="775"/>
      <c r="F2" s="775"/>
      <c r="G2" s="775"/>
      <c r="H2" s="775"/>
      <c r="I2" s="774"/>
      <c r="J2" s="776"/>
      <c r="K2" s="776"/>
      <c r="L2" s="776"/>
      <c r="M2" s="776"/>
      <c r="N2" s="776"/>
      <c r="O2" s="773"/>
      <c r="P2" s="2"/>
    </row>
    <row r="3" spans="1:22" ht="16.5" customHeight="1" x14ac:dyDescent="0.25">
      <c r="A3" s="777"/>
      <c r="B3" s="977" t="s">
        <v>1176</v>
      </c>
      <c r="C3" s="978"/>
      <c r="D3" s="978"/>
      <c r="E3" s="978"/>
      <c r="F3" s="978"/>
      <c r="G3" s="979"/>
      <c r="H3" s="979"/>
      <c r="I3" s="980"/>
      <c r="J3" s="977" t="s">
        <v>1177</v>
      </c>
      <c r="K3" s="978"/>
      <c r="L3" s="978"/>
      <c r="M3" s="978"/>
      <c r="N3" s="978"/>
      <c r="O3" s="979"/>
      <c r="P3" s="980"/>
      <c r="Q3" s="977" t="s">
        <v>1178</v>
      </c>
      <c r="R3" s="979"/>
      <c r="S3" s="980"/>
    </row>
    <row r="4" spans="1:22" s="778" customFormat="1" ht="25.5" customHeight="1" x14ac:dyDescent="0.2">
      <c r="A4" s="966" t="s">
        <v>393</v>
      </c>
      <c r="B4" s="972" t="s">
        <v>394</v>
      </c>
      <c r="C4" s="973"/>
      <c r="D4" s="973"/>
      <c r="E4" s="974"/>
      <c r="F4" s="968" t="s">
        <v>395</v>
      </c>
      <c r="G4" s="968" t="s">
        <v>396</v>
      </c>
      <c r="H4" s="968" t="s">
        <v>397</v>
      </c>
      <c r="I4" s="970" t="s">
        <v>398</v>
      </c>
      <c r="J4" s="972" t="s">
        <v>399</v>
      </c>
      <c r="K4" s="973"/>
      <c r="L4" s="973"/>
      <c r="M4" s="974"/>
      <c r="N4" s="968" t="s">
        <v>400</v>
      </c>
      <c r="O4" s="968" t="s">
        <v>397</v>
      </c>
      <c r="P4" s="970" t="s">
        <v>401</v>
      </c>
      <c r="Q4" s="975" t="s">
        <v>402</v>
      </c>
      <c r="R4" s="968" t="s">
        <v>397</v>
      </c>
      <c r="S4" s="970" t="s">
        <v>403</v>
      </c>
      <c r="V4" s="779"/>
    </row>
    <row r="5" spans="1:22" s="778" customFormat="1" ht="72.75" customHeight="1" x14ac:dyDescent="0.2">
      <c r="A5" s="967"/>
      <c r="B5" s="780" t="s">
        <v>404</v>
      </c>
      <c r="C5" s="781" t="s">
        <v>405</v>
      </c>
      <c r="D5" s="781" t="s">
        <v>406</v>
      </c>
      <c r="E5" s="781" t="s">
        <v>407</v>
      </c>
      <c r="F5" s="969"/>
      <c r="G5" s="969"/>
      <c r="H5" s="969"/>
      <c r="I5" s="971"/>
      <c r="J5" s="780" t="s">
        <v>404</v>
      </c>
      <c r="K5" s="781" t="s">
        <v>405</v>
      </c>
      <c r="L5" s="781" t="s">
        <v>406</v>
      </c>
      <c r="M5" s="781" t="s">
        <v>407</v>
      </c>
      <c r="N5" s="969"/>
      <c r="O5" s="969"/>
      <c r="P5" s="971"/>
      <c r="Q5" s="976"/>
      <c r="R5" s="969"/>
      <c r="S5" s="971"/>
    </row>
    <row r="6" spans="1:22" s="778" customFormat="1" ht="72" x14ac:dyDescent="0.2">
      <c r="A6" s="782" t="s">
        <v>408</v>
      </c>
      <c r="B6" s="783">
        <v>557.87099999999793</v>
      </c>
      <c r="C6" s="784">
        <v>1049.4788331368645</v>
      </c>
      <c r="D6" s="784">
        <v>516.57260000000008</v>
      </c>
      <c r="E6" s="784">
        <v>1748.8434</v>
      </c>
      <c r="F6" s="784">
        <f>SUM(B6:E6)</f>
        <v>3872.7658331368621</v>
      </c>
      <c r="G6" s="785">
        <f t="shared" ref="G6:G13" si="0">F6*1000/1326315</f>
        <v>2.9199442313001529</v>
      </c>
      <c r="H6" s="786">
        <v>3167.8557099999998</v>
      </c>
      <c r="I6" s="787">
        <f t="shared" ref="I6:I11" si="1">F6/H6</f>
        <v>1.2225196434647152</v>
      </c>
      <c r="J6" s="788">
        <v>0</v>
      </c>
      <c r="K6" s="789">
        <v>202.6636</v>
      </c>
      <c r="L6" s="789">
        <v>80.730999999999995</v>
      </c>
      <c r="M6" s="789">
        <v>131.51999999999998</v>
      </c>
      <c r="N6" s="790">
        <f>SUM(J6:M6)</f>
        <v>414.91459999999995</v>
      </c>
      <c r="O6" s="786">
        <v>539.73933</v>
      </c>
      <c r="P6" s="787">
        <f>N6/O6</f>
        <v>0.76873145412619825</v>
      </c>
      <c r="Q6" s="790">
        <f>SUM(F6,N6)</f>
        <v>4287.6804331368621</v>
      </c>
      <c r="R6" s="791">
        <v>3707.5950400000002</v>
      </c>
      <c r="S6" s="787">
        <f>Q6/R6</f>
        <v>1.1564586711543507</v>
      </c>
      <c r="U6" s="792"/>
      <c r="V6" s="778" t="s">
        <v>409</v>
      </c>
    </row>
    <row r="7" spans="1:22" s="778" customFormat="1" ht="36" x14ac:dyDescent="0.2">
      <c r="A7" s="782" t="s">
        <v>410</v>
      </c>
      <c r="B7" s="788">
        <v>436.25199999999904</v>
      </c>
      <c r="C7" s="789">
        <v>56.091031909482503</v>
      </c>
      <c r="D7" s="789">
        <v>3.3941243619489567</v>
      </c>
      <c r="E7" s="789">
        <v>123.49130694900225</v>
      </c>
      <c r="F7" s="784">
        <f t="shared" ref="F7:F12" si="2">SUM(B7:E7)</f>
        <v>619.22846322043279</v>
      </c>
      <c r="G7" s="785">
        <f t="shared" si="0"/>
        <v>0.46687888112585074</v>
      </c>
      <c r="H7" s="786">
        <v>871.7594499999999</v>
      </c>
      <c r="I7" s="787">
        <f t="shared" si="1"/>
        <v>0.710320333459457</v>
      </c>
      <c r="J7" s="788">
        <v>0</v>
      </c>
      <c r="K7" s="789">
        <v>1.629</v>
      </c>
      <c r="L7" s="789">
        <v>2.4579</v>
      </c>
      <c r="M7" s="789">
        <v>0.38</v>
      </c>
      <c r="N7" s="790">
        <f t="shared" ref="N7:N12" si="3">SUM(J7:M7)</f>
        <v>4.4668999999999999</v>
      </c>
      <c r="O7" s="786">
        <v>74.305410000000009</v>
      </c>
      <c r="P7" s="787">
        <f>N7/O7</f>
        <v>6.0115407478405665E-2</v>
      </c>
      <c r="Q7" s="790">
        <f>SUM(F7,N7)</f>
        <v>623.6953632204328</v>
      </c>
      <c r="R7" s="791">
        <v>946.06485999999995</v>
      </c>
      <c r="S7" s="787">
        <f>Q7/R7</f>
        <v>0.65925222422956586</v>
      </c>
      <c r="U7" s="792"/>
      <c r="V7" s="778" t="s">
        <v>411</v>
      </c>
    </row>
    <row r="8" spans="1:22" s="778" customFormat="1" x14ac:dyDescent="0.2">
      <c r="A8" s="782" t="s">
        <v>412</v>
      </c>
      <c r="B8" s="788">
        <v>6.3257000000000003</v>
      </c>
      <c r="C8" s="789">
        <v>22.355270000000001</v>
      </c>
      <c r="D8" s="789">
        <v>36.72542</v>
      </c>
      <c r="E8" s="789">
        <v>19.999629999999996</v>
      </c>
      <c r="F8" s="784">
        <f t="shared" si="2"/>
        <v>85.406019999999998</v>
      </c>
      <c r="G8" s="785">
        <f t="shared" si="0"/>
        <v>6.4393466107221894E-2</v>
      </c>
      <c r="H8" s="786">
        <v>91.823869999999999</v>
      </c>
      <c r="I8" s="787">
        <f t="shared" si="1"/>
        <v>0.93010695367119678</v>
      </c>
      <c r="J8" s="788">
        <v>0</v>
      </c>
      <c r="K8" s="789">
        <v>0</v>
      </c>
      <c r="L8" s="789">
        <v>0</v>
      </c>
      <c r="M8" s="789">
        <v>0</v>
      </c>
      <c r="N8" s="790">
        <f t="shared" si="3"/>
        <v>0</v>
      </c>
      <c r="O8" s="786">
        <v>0</v>
      </c>
      <c r="P8" s="793" t="s">
        <v>413</v>
      </c>
      <c r="Q8" s="790">
        <f t="shared" ref="Q8:Q12" si="4">SUM(F8,N8)</f>
        <v>85.406019999999998</v>
      </c>
      <c r="R8" s="791">
        <v>91.823869999999999</v>
      </c>
      <c r="S8" s="787">
        <f t="shared" ref="S8:S13" si="5">Q8/R8</f>
        <v>0.93010695367119678</v>
      </c>
      <c r="U8" s="792"/>
      <c r="V8" s="778" t="s">
        <v>414</v>
      </c>
    </row>
    <row r="9" spans="1:22" s="778" customFormat="1" ht="24" x14ac:dyDescent="0.2">
      <c r="A9" s="782" t="s">
        <v>415</v>
      </c>
      <c r="B9" s="788">
        <v>451.96240000009539</v>
      </c>
      <c r="C9" s="789">
        <v>1659.9038851838957</v>
      </c>
      <c r="D9" s="789">
        <v>845.48254941995299</v>
      </c>
      <c r="E9" s="789">
        <v>1360.1493000000003</v>
      </c>
      <c r="F9" s="784">
        <f t="shared" si="2"/>
        <v>4317.498134603944</v>
      </c>
      <c r="G9" s="785">
        <f t="shared" si="0"/>
        <v>3.2552584677123786</v>
      </c>
      <c r="H9" s="786">
        <v>5580.83896</v>
      </c>
      <c r="I9" s="787">
        <f t="shared" si="1"/>
        <v>0.77362886934188546</v>
      </c>
      <c r="J9" s="788">
        <v>0</v>
      </c>
      <c r="K9" s="789">
        <v>1331.6137460167899</v>
      </c>
      <c r="L9" s="789">
        <v>364.41938066340413</v>
      </c>
      <c r="M9" s="789">
        <v>686.59626978324161</v>
      </c>
      <c r="N9" s="790">
        <f t="shared" si="3"/>
        <v>2382.6293964634356</v>
      </c>
      <c r="O9" s="786">
        <v>1400.0984599999999</v>
      </c>
      <c r="P9" s="787">
        <f t="shared" ref="P9:P13" si="6">N9/O9</f>
        <v>1.7017584580897516</v>
      </c>
      <c r="Q9" s="790">
        <f t="shared" si="4"/>
        <v>6700.1275310673791</v>
      </c>
      <c r="R9" s="791">
        <v>6980.9374200000002</v>
      </c>
      <c r="S9" s="787">
        <f t="shared" si="5"/>
        <v>0.95977475917086486</v>
      </c>
      <c r="U9" s="792"/>
      <c r="V9" s="778" t="s">
        <v>416</v>
      </c>
    </row>
    <row r="10" spans="1:22" s="778" customFormat="1" ht="24" x14ac:dyDescent="0.2">
      <c r="A10" s="782" t="s">
        <v>417</v>
      </c>
      <c r="B10" s="788">
        <v>379.10309999999993</v>
      </c>
      <c r="C10" s="789">
        <v>164.36788525848777</v>
      </c>
      <c r="D10" s="789">
        <v>93.874475150810042</v>
      </c>
      <c r="E10" s="789">
        <v>1276.369993950178</v>
      </c>
      <c r="F10" s="784">
        <f t="shared" si="2"/>
        <v>1913.7154543594756</v>
      </c>
      <c r="G10" s="785">
        <f t="shared" si="0"/>
        <v>1.4428815585735484</v>
      </c>
      <c r="H10" s="786">
        <v>2107.9280199999998</v>
      </c>
      <c r="I10" s="787">
        <f t="shared" si="1"/>
        <v>0.90786565584885381</v>
      </c>
      <c r="J10" s="788">
        <v>0</v>
      </c>
      <c r="K10" s="789">
        <v>62.178899999999999</v>
      </c>
      <c r="L10" s="789">
        <v>137.2205472698908</v>
      </c>
      <c r="M10" s="789">
        <v>552.54818984147528</v>
      </c>
      <c r="N10" s="790">
        <f t="shared" si="3"/>
        <v>751.94763711136602</v>
      </c>
      <c r="O10" s="786">
        <v>415.65287000000001</v>
      </c>
      <c r="P10" s="787">
        <f t="shared" si="6"/>
        <v>1.8090760136249415</v>
      </c>
      <c r="Q10" s="790">
        <f t="shared" si="4"/>
        <v>2665.6630914708417</v>
      </c>
      <c r="R10" s="791">
        <v>2523.5808900000002</v>
      </c>
      <c r="S10" s="787">
        <f t="shared" si="5"/>
        <v>1.0563018217620286</v>
      </c>
      <c r="U10" s="792"/>
      <c r="V10" s="778" t="s">
        <v>418</v>
      </c>
    </row>
    <row r="11" spans="1:22" s="778" customFormat="1" ht="72" x14ac:dyDescent="0.2">
      <c r="A11" s="782" t="s">
        <v>419</v>
      </c>
      <c r="B11" s="788">
        <v>75.170278000034401</v>
      </c>
      <c r="C11" s="789">
        <v>63.372367278182487</v>
      </c>
      <c r="D11" s="789">
        <v>15.317476405801269</v>
      </c>
      <c r="E11" s="789">
        <v>142.71901238516338</v>
      </c>
      <c r="F11" s="784">
        <f t="shared" si="2"/>
        <v>296.57913406918158</v>
      </c>
      <c r="G11" s="785">
        <f t="shared" si="0"/>
        <v>0.22361138497957239</v>
      </c>
      <c r="H11" s="786">
        <v>490.11978000000005</v>
      </c>
      <c r="I11" s="787">
        <f t="shared" si="1"/>
        <v>0.60511561902109223</v>
      </c>
      <c r="J11" s="788">
        <v>0</v>
      </c>
      <c r="K11" s="789">
        <v>0</v>
      </c>
      <c r="L11" s="789">
        <v>16.96699898151234</v>
      </c>
      <c r="M11" s="789">
        <v>0</v>
      </c>
      <c r="N11" s="790">
        <f t="shared" si="3"/>
        <v>16.96699898151234</v>
      </c>
      <c r="O11" s="786">
        <v>8.9272800000000014</v>
      </c>
      <c r="P11" s="787">
        <f t="shared" si="6"/>
        <v>1.9005787856449374</v>
      </c>
      <c r="Q11" s="790">
        <f t="shared" si="4"/>
        <v>313.54613305069392</v>
      </c>
      <c r="R11" s="791">
        <v>499.04707000000002</v>
      </c>
      <c r="S11" s="787">
        <f t="shared" si="5"/>
        <v>0.62828969830580095</v>
      </c>
      <c r="U11" s="792"/>
      <c r="V11" s="778" t="s">
        <v>420</v>
      </c>
    </row>
    <row r="12" spans="1:22" s="778" customFormat="1" ht="36" x14ac:dyDescent="0.2">
      <c r="A12" s="782" t="s">
        <v>421</v>
      </c>
      <c r="B12" s="788">
        <v>0</v>
      </c>
      <c r="C12" s="789">
        <v>0</v>
      </c>
      <c r="D12" s="789">
        <v>0</v>
      </c>
      <c r="E12" s="789">
        <v>0</v>
      </c>
      <c r="F12" s="784">
        <f t="shared" si="2"/>
        <v>0</v>
      </c>
      <c r="G12" s="785">
        <f t="shared" si="0"/>
        <v>0</v>
      </c>
      <c r="H12" s="786">
        <v>0</v>
      </c>
      <c r="I12" s="794" t="s">
        <v>413</v>
      </c>
      <c r="J12" s="788">
        <v>0</v>
      </c>
      <c r="K12" s="789">
        <v>107.4</v>
      </c>
      <c r="L12" s="789">
        <v>50.557000000000002</v>
      </c>
      <c r="M12" s="789">
        <v>3.63</v>
      </c>
      <c r="N12" s="790">
        <f t="shared" si="3"/>
        <v>161.58699999999999</v>
      </c>
      <c r="O12" s="786">
        <v>2878.6701699999999</v>
      </c>
      <c r="P12" s="787">
        <f t="shared" si="6"/>
        <v>5.6132516216680702E-2</v>
      </c>
      <c r="Q12" s="790">
        <f t="shared" si="4"/>
        <v>161.58699999999999</v>
      </c>
      <c r="R12" s="791">
        <v>2878.6701699999999</v>
      </c>
      <c r="S12" s="787">
        <f t="shared" si="5"/>
        <v>5.6132516216680702E-2</v>
      </c>
      <c r="U12" s="792"/>
      <c r="V12" s="778" t="s">
        <v>422</v>
      </c>
    </row>
    <row r="13" spans="1:22" s="803" customFormat="1" ht="15" thickBot="1" x14ac:dyDescent="0.25">
      <c r="A13" s="799" t="s">
        <v>136</v>
      </c>
      <c r="B13" s="800">
        <f>SUM(B6:B12)</f>
        <v>1906.6844780001268</v>
      </c>
      <c r="C13" s="801">
        <f>SUM(C6:C12)</f>
        <v>3015.5692727669129</v>
      </c>
      <c r="D13" s="801">
        <f>SUM(D6:D12)</f>
        <v>1511.3666453385133</v>
      </c>
      <c r="E13" s="801">
        <f>SUM(E6:E12)</f>
        <v>4671.5726432843439</v>
      </c>
      <c r="F13" s="801">
        <f>SUM(F6:F12)</f>
        <v>11105.193039389895</v>
      </c>
      <c r="G13" s="801">
        <f t="shared" si="0"/>
        <v>8.3729679897987239</v>
      </c>
      <c r="H13" s="801">
        <f>SUM(H6:H12)</f>
        <v>12310.325789999999</v>
      </c>
      <c r="I13" s="802">
        <f>F13/H13</f>
        <v>0.90210391088194719</v>
      </c>
      <c r="J13" s="800">
        <f t="shared" ref="J13:O13" si="7">SUM(J6:J12)</f>
        <v>0</v>
      </c>
      <c r="K13" s="801">
        <f t="shared" si="7"/>
        <v>1705.4852460167899</v>
      </c>
      <c r="L13" s="801">
        <f t="shared" si="7"/>
        <v>652.35282691480722</v>
      </c>
      <c r="M13" s="801">
        <f t="shared" si="7"/>
        <v>1374.674459624717</v>
      </c>
      <c r="N13" s="801">
        <f t="shared" si="7"/>
        <v>3732.512532556314</v>
      </c>
      <c r="O13" s="801">
        <f t="shared" si="7"/>
        <v>5317.3935199999996</v>
      </c>
      <c r="P13" s="802">
        <f t="shared" si="6"/>
        <v>0.70194401044749355</v>
      </c>
      <c r="Q13" s="801">
        <f>SUM(Q6:Q12)</f>
        <v>14837.70557194621</v>
      </c>
      <c r="R13" s="801">
        <f>SUM(R6:R12)</f>
        <v>17627.719320000004</v>
      </c>
      <c r="S13" s="802">
        <f t="shared" si="5"/>
        <v>0.84172576738907401</v>
      </c>
      <c r="U13" s="804"/>
    </row>
    <row r="14" spans="1:22" x14ac:dyDescent="0.25">
      <c r="B14" s="93"/>
      <c r="C14" s="93"/>
      <c r="D14" s="93"/>
      <c r="E14" s="93"/>
      <c r="F14" s="93"/>
      <c r="G14" s="774"/>
      <c r="H14" s="774"/>
      <c r="I14" s="774"/>
      <c r="J14" s="773"/>
      <c r="K14" s="773"/>
      <c r="L14" s="773"/>
      <c r="M14" s="773"/>
      <c r="N14" s="773"/>
      <c r="O14" s="773"/>
      <c r="P14" s="2"/>
    </row>
    <row r="15" spans="1:22" ht="12.75" customHeight="1" x14ac:dyDescent="0.25">
      <c r="B15" s="795"/>
      <c r="C15" s="795"/>
      <c r="D15" s="795"/>
      <c r="E15" s="795"/>
      <c r="F15" s="795"/>
      <c r="G15" s="795"/>
      <c r="H15" s="796"/>
      <c r="I15" s="796"/>
      <c r="J15" s="797"/>
      <c r="K15" s="797"/>
      <c r="L15" s="797"/>
      <c r="M15" s="797"/>
      <c r="N15" s="797"/>
      <c r="O15" s="771"/>
    </row>
    <row r="17" spans="6:6" ht="13.5" customHeight="1" x14ac:dyDescent="0.25"/>
    <row r="18" spans="6:6" x14ac:dyDescent="0.25">
      <c r="F18" s="798"/>
    </row>
  </sheetData>
  <sheetProtection selectLockedCells="1" selectUnlockedCells="1"/>
  <mergeCells count="16">
    <mergeCell ref="P4:P5"/>
    <mergeCell ref="Q4:Q5"/>
    <mergeCell ref="R4:R5"/>
    <mergeCell ref="S4:S5"/>
    <mergeCell ref="B3:I3"/>
    <mergeCell ref="J3:P3"/>
    <mergeCell ref="Q3:S3"/>
    <mergeCell ref="O4:O5"/>
    <mergeCell ref="N4:N5"/>
    <mergeCell ref="A4:A5"/>
    <mergeCell ref="G4:G5"/>
    <mergeCell ref="H4:H5"/>
    <mergeCell ref="I4:I5"/>
    <mergeCell ref="J4:M4"/>
    <mergeCell ref="B4:E4"/>
    <mergeCell ref="F4:F5"/>
  </mergeCells>
  <hyperlinks>
    <hyperlink ref="E1" location="Índice!A1" display="ir a índice" xr:uid="{084B23FD-3450-4273-93E5-FBD8816BA44E}"/>
  </hyperlinks>
  <pageMargins left="0.25" right="0.25" top="0.75" bottom="0.75" header="0.3" footer="0.3"/>
  <pageSetup paperSize="9" scale="63" firstPageNumber="0"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7">
    <tabColor rgb="FFBF8B2E"/>
    <pageSetUpPr fitToPage="1"/>
  </sheetPr>
  <dimension ref="A1:I32"/>
  <sheetViews>
    <sheetView workbookViewId="0">
      <selection activeCell="M1" sqref="M1"/>
    </sheetView>
  </sheetViews>
  <sheetFormatPr baseColWidth="10" defaultColWidth="11.42578125" defaultRowHeight="14.25" x14ac:dyDescent="0.25"/>
  <cols>
    <col min="1" max="1" width="55.7109375" style="97" customWidth="1"/>
    <col min="2" max="2" width="30" style="97" customWidth="1"/>
    <col min="3" max="3" width="49.85546875" style="97" customWidth="1"/>
    <col min="4" max="4" width="12.42578125" style="97" customWidth="1"/>
    <col min="5" max="5" width="12.85546875" style="97" customWidth="1"/>
    <col min="6" max="6" width="11.42578125" style="97"/>
    <col min="7" max="7" width="15.85546875" style="97" customWidth="1"/>
    <col min="8" max="250" width="11.42578125" style="97"/>
    <col min="251" max="251" width="6.140625" style="97" customWidth="1"/>
    <col min="252" max="252" width="31.5703125" style="97" customWidth="1"/>
    <col min="253" max="506" width="11.42578125" style="97"/>
    <col min="507" max="507" width="6.140625" style="97" customWidth="1"/>
    <col min="508" max="508" width="31.5703125" style="97" customWidth="1"/>
    <col min="509" max="762" width="11.42578125" style="97"/>
    <col min="763" max="763" width="6.140625" style="97" customWidth="1"/>
    <col min="764" max="764" width="31.5703125" style="97" customWidth="1"/>
    <col min="765" max="1018" width="11.42578125" style="97"/>
    <col min="1019" max="1019" width="6.140625" style="97" customWidth="1"/>
    <col min="1020" max="1020" width="31.5703125" style="97" customWidth="1"/>
    <col min="1021" max="1274" width="11.42578125" style="97"/>
    <col min="1275" max="1275" width="6.140625" style="97" customWidth="1"/>
    <col min="1276" max="1276" width="31.5703125" style="97" customWidth="1"/>
    <col min="1277" max="1530" width="11.42578125" style="97"/>
    <col min="1531" max="1531" width="6.140625" style="97" customWidth="1"/>
    <col min="1532" max="1532" width="31.5703125" style="97" customWidth="1"/>
    <col min="1533" max="1786" width="11.42578125" style="97"/>
    <col min="1787" max="1787" width="6.140625" style="97" customWidth="1"/>
    <col min="1788" max="1788" width="31.5703125" style="97" customWidth="1"/>
    <col min="1789" max="2042" width="11.42578125" style="97"/>
    <col min="2043" max="2043" width="6.140625" style="97" customWidth="1"/>
    <col min="2044" max="2044" width="31.5703125" style="97" customWidth="1"/>
    <col min="2045" max="2298" width="11.42578125" style="97"/>
    <col min="2299" max="2299" width="6.140625" style="97" customWidth="1"/>
    <col min="2300" max="2300" width="31.5703125" style="97" customWidth="1"/>
    <col min="2301" max="2554" width="11.42578125" style="97"/>
    <col min="2555" max="2555" width="6.140625" style="97" customWidth="1"/>
    <col min="2556" max="2556" width="31.5703125" style="97" customWidth="1"/>
    <col min="2557" max="2810" width="11.42578125" style="97"/>
    <col min="2811" max="2811" width="6.140625" style="97" customWidth="1"/>
    <col min="2812" max="2812" width="31.5703125" style="97" customWidth="1"/>
    <col min="2813" max="3066" width="11.42578125" style="97"/>
    <col min="3067" max="3067" width="6.140625" style="97" customWidth="1"/>
    <col min="3068" max="3068" width="31.5703125" style="97" customWidth="1"/>
    <col min="3069" max="3322" width="11.42578125" style="97"/>
    <col min="3323" max="3323" width="6.140625" style="97" customWidth="1"/>
    <col min="3324" max="3324" width="31.5703125" style="97" customWidth="1"/>
    <col min="3325" max="3578" width="11.42578125" style="97"/>
    <col min="3579" max="3579" width="6.140625" style="97" customWidth="1"/>
    <col min="3580" max="3580" width="31.5703125" style="97" customWidth="1"/>
    <col min="3581" max="3834" width="11.42578125" style="97"/>
    <col min="3835" max="3835" width="6.140625" style="97" customWidth="1"/>
    <col min="3836" max="3836" width="31.5703125" style="97" customWidth="1"/>
    <col min="3837" max="4090" width="11.42578125" style="97"/>
    <col min="4091" max="4091" width="6.140625" style="97" customWidth="1"/>
    <col min="4092" max="4092" width="31.5703125" style="97" customWidth="1"/>
    <col min="4093" max="4346" width="11.42578125" style="97"/>
    <col min="4347" max="4347" width="6.140625" style="97" customWidth="1"/>
    <col min="4348" max="4348" width="31.5703125" style="97" customWidth="1"/>
    <col min="4349" max="4602" width="11.42578125" style="97"/>
    <col min="4603" max="4603" width="6.140625" style="97" customWidth="1"/>
    <col min="4604" max="4604" width="31.5703125" style="97" customWidth="1"/>
    <col min="4605" max="4858" width="11.42578125" style="97"/>
    <col min="4859" max="4859" width="6.140625" style="97" customWidth="1"/>
    <col min="4860" max="4860" width="31.5703125" style="97" customWidth="1"/>
    <col min="4861" max="5114" width="11.42578125" style="97"/>
    <col min="5115" max="5115" width="6.140625" style="97" customWidth="1"/>
    <col min="5116" max="5116" width="31.5703125" style="97" customWidth="1"/>
    <col min="5117" max="5370" width="11.42578125" style="97"/>
    <col min="5371" max="5371" width="6.140625" style="97" customWidth="1"/>
    <col min="5372" max="5372" width="31.5703125" style="97" customWidth="1"/>
    <col min="5373" max="5626" width="11.42578125" style="97"/>
    <col min="5627" max="5627" width="6.140625" style="97" customWidth="1"/>
    <col min="5628" max="5628" width="31.5703125" style="97" customWidth="1"/>
    <col min="5629" max="5882" width="11.42578125" style="97"/>
    <col min="5883" max="5883" width="6.140625" style="97" customWidth="1"/>
    <col min="5884" max="5884" width="31.5703125" style="97" customWidth="1"/>
    <col min="5885" max="6138" width="11.42578125" style="97"/>
    <col min="6139" max="6139" width="6.140625" style="97" customWidth="1"/>
    <col min="6140" max="6140" width="31.5703125" style="97" customWidth="1"/>
    <col min="6141" max="6394" width="11.42578125" style="97"/>
    <col min="6395" max="6395" width="6.140625" style="97" customWidth="1"/>
    <col min="6396" max="6396" width="31.5703125" style="97" customWidth="1"/>
    <col min="6397" max="6650" width="11.42578125" style="97"/>
    <col min="6651" max="6651" width="6.140625" style="97" customWidth="1"/>
    <col min="6652" max="6652" width="31.5703125" style="97" customWidth="1"/>
    <col min="6653" max="6906" width="11.42578125" style="97"/>
    <col min="6907" max="6907" width="6.140625" style="97" customWidth="1"/>
    <col min="6908" max="6908" width="31.5703125" style="97" customWidth="1"/>
    <col min="6909" max="7162" width="11.42578125" style="97"/>
    <col min="7163" max="7163" width="6.140625" style="97" customWidth="1"/>
    <col min="7164" max="7164" width="31.5703125" style="97" customWidth="1"/>
    <col min="7165" max="7418" width="11.42578125" style="97"/>
    <col min="7419" max="7419" width="6.140625" style="97" customWidth="1"/>
    <col min="7420" max="7420" width="31.5703125" style="97" customWidth="1"/>
    <col min="7421" max="7674" width="11.42578125" style="97"/>
    <col min="7675" max="7675" width="6.140625" style="97" customWidth="1"/>
    <col min="7676" max="7676" width="31.5703125" style="97" customWidth="1"/>
    <col min="7677" max="7930" width="11.42578125" style="97"/>
    <col min="7931" max="7931" width="6.140625" style="97" customWidth="1"/>
    <col min="7932" max="7932" width="31.5703125" style="97" customWidth="1"/>
    <col min="7933" max="8186" width="11.42578125" style="97"/>
    <col min="8187" max="8187" width="6.140625" style="97" customWidth="1"/>
    <col min="8188" max="8188" width="31.5703125" style="97" customWidth="1"/>
    <col min="8189" max="8442" width="11.42578125" style="97"/>
    <col min="8443" max="8443" width="6.140625" style="97" customWidth="1"/>
    <col min="8444" max="8444" width="31.5703125" style="97" customWidth="1"/>
    <col min="8445" max="8698" width="11.42578125" style="97"/>
    <col min="8699" max="8699" width="6.140625" style="97" customWidth="1"/>
    <col min="8700" max="8700" width="31.5703125" style="97" customWidth="1"/>
    <col min="8701" max="8954" width="11.42578125" style="97"/>
    <col min="8955" max="8955" width="6.140625" style="97" customWidth="1"/>
    <col min="8956" max="8956" width="31.5703125" style="97" customWidth="1"/>
    <col min="8957" max="9210" width="11.42578125" style="97"/>
    <col min="9211" max="9211" width="6.140625" style="97" customWidth="1"/>
    <col min="9212" max="9212" width="31.5703125" style="97" customWidth="1"/>
    <col min="9213" max="9466" width="11.42578125" style="97"/>
    <col min="9467" max="9467" width="6.140625" style="97" customWidth="1"/>
    <col min="9468" max="9468" width="31.5703125" style="97" customWidth="1"/>
    <col min="9469" max="9722" width="11.42578125" style="97"/>
    <col min="9723" max="9723" width="6.140625" style="97" customWidth="1"/>
    <col min="9724" max="9724" width="31.5703125" style="97" customWidth="1"/>
    <col min="9725" max="9978" width="11.42578125" style="97"/>
    <col min="9979" max="9979" width="6.140625" style="97" customWidth="1"/>
    <col min="9980" max="9980" width="31.5703125" style="97" customWidth="1"/>
    <col min="9981" max="10234" width="11.42578125" style="97"/>
    <col min="10235" max="10235" width="6.140625" style="97" customWidth="1"/>
    <col min="10236" max="10236" width="31.5703125" style="97" customWidth="1"/>
    <col min="10237" max="10490" width="11.42578125" style="97"/>
    <col min="10491" max="10491" width="6.140625" style="97" customWidth="1"/>
    <col min="10492" max="10492" width="31.5703125" style="97" customWidth="1"/>
    <col min="10493" max="10746" width="11.42578125" style="97"/>
    <col min="10747" max="10747" width="6.140625" style="97" customWidth="1"/>
    <col min="10748" max="10748" width="31.5703125" style="97" customWidth="1"/>
    <col min="10749" max="11002" width="11.42578125" style="97"/>
    <col min="11003" max="11003" width="6.140625" style="97" customWidth="1"/>
    <col min="11004" max="11004" width="31.5703125" style="97" customWidth="1"/>
    <col min="11005" max="11258" width="11.42578125" style="97"/>
    <col min="11259" max="11259" width="6.140625" style="97" customWidth="1"/>
    <col min="11260" max="11260" width="31.5703125" style="97" customWidth="1"/>
    <col min="11261" max="11514" width="11.42578125" style="97"/>
    <col min="11515" max="11515" width="6.140625" style="97" customWidth="1"/>
    <col min="11516" max="11516" width="31.5703125" style="97" customWidth="1"/>
    <col min="11517" max="11770" width="11.42578125" style="97"/>
    <col min="11771" max="11771" width="6.140625" style="97" customWidth="1"/>
    <col min="11772" max="11772" width="31.5703125" style="97" customWidth="1"/>
    <col min="11773" max="12026" width="11.42578125" style="97"/>
    <col min="12027" max="12027" width="6.140625" style="97" customWidth="1"/>
    <col min="12028" max="12028" width="31.5703125" style="97" customWidth="1"/>
    <col min="12029" max="12282" width="11.42578125" style="97"/>
    <col min="12283" max="12283" width="6.140625" style="97" customWidth="1"/>
    <col min="12284" max="12284" width="31.5703125" style="97" customWidth="1"/>
    <col min="12285" max="12538" width="11.42578125" style="97"/>
    <col min="12539" max="12539" width="6.140625" style="97" customWidth="1"/>
    <col min="12540" max="12540" width="31.5703125" style="97" customWidth="1"/>
    <col min="12541" max="12794" width="11.42578125" style="97"/>
    <col min="12795" max="12795" width="6.140625" style="97" customWidth="1"/>
    <col min="12796" max="12796" width="31.5703125" style="97" customWidth="1"/>
    <col min="12797" max="13050" width="11.42578125" style="97"/>
    <col min="13051" max="13051" width="6.140625" style="97" customWidth="1"/>
    <col min="13052" max="13052" width="31.5703125" style="97" customWidth="1"/>
    <col min="13053" max="13306" width="11.42578125" style="97"/>
    <col min="13307" max="13307" width="6.140625" style="97" customWidth="1"/>
    <col min="13308" max="13308" width="31.5703125" style="97" customWidth="1"/>
    <col min="13309" max="13562" width="11.42578125" style="97"/>
    <col min="13563" max="13563" width="6.140625" style="97" customWidth="1"/>
    <col min="13564" max="13564" width="31.5703125" style="97" customWidth="1"/>
    <col min="13565" max="13818" width="11.42578125" style="97"/>
    <col min="13819" max="13819" width="6.140625" style="97" customWidth="1"/>
    <col min="13820" max="13820" width="31.5703125" style="97" customWidth="1"/>
    <col min="13821" max="14074" width="11.42578125" style="97"/>
    <col min="14075" max="14075" width="6.140625" style="97" customWidth="1"/>
    <col min="14076" max="14076" width="31.5703125" style="97" customWidth="1"/>
    <col min="14077" max="14330" width="11.42578125" style="97"/>
    <col min="14331" max="14331" width="6.140625" style="97" customWidth="1"/>
    <col min="14332" max="14332" width="31.5703125" style="97" customWidth="1"/>
    <col min="14333" max="14586" width="11.42578125" style="97"/>
    <col min="14587" max="14587" width="6.140625" style="97" customWidth="1"/>
    <col min="14588" max="14588" width="31.5703125" style="97" customWidth="1"/>
    <col min="14589" max="14842" width="11.42578125" style="97"/>
    <col min="14843" max="14843" width="6.140625" style="97" customWidth="1"/>
    <col min="14844" max="14844" width="31.5703125" style="97" customWidth="1"/>
    <col min="14845" max="15098" width="11.42578125" style="97"/>
    <col min="15099" max="15099" width="6.140625" style="97" customWidth="1"/>
    <col min="15100" max="15100" width="31.5703125" style="97" customWidth="1"/>
    <col min="15101" max="15354" width="11.42578125" style="97"/>
    <col min="15355" max="15355" width="6.140625" style="97" customWidth="1"/>
    <col min="15356" max="15356" width="31.5703125" style="97" customWidth="1"/>
    <col min="15357" max="15610" width="11.42578125" style="97"/>
    <col min="15611" max="15611" width="6.140625" style="97" customWidth="1"/>
    <col min="15612" max="15612" width="31.5703125" style="97" customWidth="1"/>
    <col min="15613" max="15866" width="11.42578125" style="97"/>
    <col min="15867" max="15867" width="6.140625" style="97" customWidth="1"/>
    <col min="15868" max="15868" width="31.5703125" style="97" customWidth="1"/>
    <col min="15869" max="16122" width="11.42578125" style="97"/>
    <col min="16123" max="16123" width="6.140625" style="97" customWidth="1"/>
    <col min="16124" max="16124" width="31.5703125" style="97" customWidth="1"/>
    <col min="16125" max="16384" width="11.42578125" style="97"/>
  </cols>
  <sheetData>
    <row r="1" spans="1:9" x14ac:dyDescent="0.25">
      <c r="A1" s="555" t="s">
        <v>1180</v>
      </c>
      <c r="E1" s="942" t="s">
        <v>1230</v>
      </c>
    </row>
    <row r="2" spans="1:9" x14ac:dyDescent="0.25">
      <c r="A2" s="805" t="s">
        <v>429</v>
      </c>
    </row>
    <row r="3" spans="1:9" ht="17.25" customHeight="1" x14ac:dyDescent="0.25">
      <c r="A3"/>
      <c r="B3" s="981" t="s">
        <v>424</v>
      </c>
      <c r="C3" s="981"/>
      <c r="D3" s="981"/>
      <c r="E3" s="101"/>
      <c r="F3" s="101"/>
      <c r="G3" s="101"/>
      <c r="H3" s="101"/>
      <c r="I3" s="101"/>
    </row>
    <row r="4" spans="1:9" ht="42" customHeight="1" x14ac:dyDescent="0.25">
      <c r="A4" t="s">
        <v>393</v>
      </c>
      <c r="B4" t="s">
        <v>425</v>
      </c>
      <c r="C4" t="s">
        <v>426</v>
      </c>
      <c r="D4" t="s">
        <v>427</v>
      </c>
      <c r="E4" s="101"/>
      <c r="F4" s="101"/>
      <c r="G4" s="101"/>
      <c r="H4" s="101"/>
      <c r="I4" s="101"/>
    </row>
    <row r="5" spans="1:9" x14ac:dyDescent="0.25">
      <c r="A5" t="str">
        <f>'Tabla 1.5-26'!A6</f>
        <v xml:space="preserve">FR1. Aparatos de intercambio de temperatura </v>
      </c>
      <c r="B5">
        <v>182.02760000000001</v>
      </c>
      <c r="C5">
        <v>2952.2489001175154</v>
      </c>
      <c r="D5">
        <v>282.44994148742944</v>
      </c>
      <c r="E5" s="101"/>
      <c r="F5" s="101"/>
      <c r="G5" s="101"/>
      <c r="H5" s="101"/>
      <c r="I5" s="101"/>
    </row>
    <row r="6" spans="1:9" x14ac:dyDescent="0.25">
      <c r="A6" t="str">
        <f>'Tabla 1.5-26'!A7</f>
        <v>FR2. Pequeños electrodomésticos</v>
      </c>
      <c r="B6">
        <v>3.9E-2</v>
      </c>
      <c r="C6">
        <v>502.55521455526758</v>
      </c>
      <c r="D6">
        <v>71.49904152040429</v>
      </c>
      <c r="E6" s="101"/>
      <c r="F6" s="101"/>
      <c r="G6" s="101"/>
      <c r="H6" s="101"/>
      <c r="I6" s="101"/>
    </row>
    <row r="7" spans="1:9" x14ac:dyDescent="0.25">
      <c r="A7" t="str">
        <f>'Tabla 1.5-26'!A8</f>
        <v>FR3. Lámparas</v>
      </c>
      <c r="B7">
        <v>0</v>
      </c>
      <c r="C7">
        <v>73.638929386000001</v>
      </c>
      <c r="D7">
        <v>6.3192534789999995</v>
      </c>
    </row>
    <row r="8" spans="1:9" x14ac:dyDescent="0.25">
      <c r="A8" t="str">
        <f>'Tabla 1.5-26'!A9</f>
        <v>FR4. Grandes aparatos</v>
      </c>
      <c r="B8">
        <v>182.69200000000001</v>
      </c>
      <c r="C8">
        <v>4249.1991472715699</v>
      </c>
      <c r="D8">
        <v>470.58842687299824</v>
      </c>
      <c r="E8" s="101"/>
      <c r="F8" s="101"/>
      <c r="G8" s="101"/>
      <c r="H8" s="101"/>
      <c r="I8" s="101"/>
    </row>
    <row r="9" spans="1:9" x14ac:dyDescent="0.25">
      <c r="A9" t="str">
        <f>'Tabla 1.5-26'!A10</f>
        <v>FR5. Pequeños aparatos</v>
      </c>
      <c r="B9">
        <v>0.437</v>
      </c>
      <c r="C9">
        <v>2244.9106164305913</v>
      </c>
      <c r="D9">
        <v>179.31618557006419</v>
      </c>
      <c r="E9" s="101"/>
      <c r="F9" s="101"/>
      <c r="G9" s="101"/>
      <c r="H9" s="101"/>
      <c r="I9" s="101"/>
    </row>
    <row r="10" spans="1:9" x14ac:dyDescent="0.25">
      <c r="A10" t="str">
        <f>'Tabla 1.5-26'!A11</f>
        <v xml:space="preserve">FR6. Aparatos de informática y telecomunicaciones pequeños </v>
      </c>
      <c r="B10">
        <v>2.6078950005011263</v>
      </c>
      <c r="C10">
        <v>270.98376579405067</v>
      </c>
      <c r="D10">
        <v>16.776842256167111</v>
      </c>
      <c r="E10" s="101"/>
      <c r="F10" s="101"/>
      <c r="G10" s="101"/>
      <c r="H10" s="101"/>
      <c r="I10" s="101"/>
    </row>
    <row r="11" spans="1:9" x14ac:dyDescent="0.25">
      <c r="A11" t="str">
        <f>'Tabla 1.5-26'!A12</f>
        <v>FR7. Paneles fotovoltaicos</v>
      </c>
      <c r="B11">
        <v>0</v>
      </c>
      <c r="C11">
        <v>115.39475</v>
      </c>
      <c r="D11">
        <v>17.148350000000001</v>
      </c>
      <c r="E11" s="101"/>
      <c r="F11" s="101"/>
      <c r="G11" s="101"/>
      <c r="H11" s="101"/>
      <c r="I11" s="101"/>
    </row>
    <row r="12" spans="1:9" x14ac:dyDescent="0.25">
      <c r="A12" t="s">
        <v>428</v>
      </c>
      <c r="B12">
        <f>SUM(B5:B11)</f>
        <v>367.80349500050113</v>
      </c>
      <c r="C12">
        <f>SUM(C5:C11)</f>
        <v>10408.931323554996</v>
      </c>
      <c r="D12">
        <f>SUM(D5:D11)</f>
        <v>1044.0980411860633</v>
      </c>
      <c r="E12" s="101"/>
      <c r="F12" s="101"/>
      <c r="G12" s="101"/>
      <c r="H12" s="101"/>
      <c r="I12" s="101"/>
    </row>
    <row r="13" spans="1:9" x14ac:dyDescent="0.25">
      <c r="A13"/>
      <c r="B13"/>
      <c r="C13"/>
      <c r="D13"/>
    </row>
    <row r="14" spans="1:9" x14ac:dyDescent="0.25">
      <c r="A14" t="s">
        <v>136</v>
      </c>
      <c r="B14">
        <f>SUM(B15:B21)</f>
        <v>1</v>
      </c>
      <c r="C14">
        <f t="shared" ref="C14:D14" si="0">SUM(C15:C21)</f>
        <v>0.99999999999999978</v>
      </c>
      <c r="D14">
        <f t="shared" si="0"/>
        <v>1</v>
      </c>
      <c r="E14" s="101"/>
      <c r="F14" s="101"/>
      <c r="G14" s="101"/>
      <c r="H14" s="101"/>
      <c r="I14" s="101"/>
    </row>
    <row r="15" spans="1:9" x14ac:dyDescent="0.25">
      <c r="A15" t="str">
        <f>A5</f>
        <v xml:space="preserve">FR1. Aparatos de intercambio de temperatura </v>
      </c>
      <c r="B15">
        <f>B5/$B$12</f>
        <v>0.49490448697272982</v>
      </c>
      <c r="C15">
        <f>C5/$C$12</f>
        <v>0.2836265134574088</v>
      </c>
      <c r="D15">
        <f>D5/$D$12</f>
        <v>0.27052051660452786</v>
      </c>
      <c r="E15" s="101"/>
      <c r="F15" s="101"/>
      <c r="G15" s="101"/>
      <c r="H15" s="101"/>
      <c r="I15" s="101"/>
    </row>
    <row r="16" spans="1:9" x14ac:dyDescent="0.25">
      <c r="A16" t="str">
        <f t="shared" ref="A16:A21" si="1">A6</f>
        <v>FR2. Pequeños electrodomésticos</v>
      </c>
      <c r="B16">
        <f t="shared" ref="B16:B21" si="2">B6/$B$12</f>
        <v>1.0603488147916284E-4</v>
      </c>
      <c r="C16">
        <f t="shared" ref="C16:C21" si="3">C6/$C$12</f>
        <v>4.8281153841221454E-2</v>
      </c>
      <c r="D16">
        <f t="shared" ref="D16:D21" si="4">D6/$D$12</f>
        <v>6.8479241124888596E-2</v>
      </c>
      <c r="E16" s="205"/>
      <c r="F16" s="101"/>
      <c r="G16" s="101"/>
      <c r="H16" s="101"/>
    </row>
    <row r="17" spans="1:8" x14ac:dyDescent="0.25">
      <c r="A17" t="str">
        <f t="shared" si="1"/>
        <v>FR3. Lámparas</v>
      </c>
      <c r="B17">
        <f t="shared" si="2"/>
        <v>0</v>
      </c>
      <c r="C17">
        <f t="shared" si="3"/>
        <v>7.0745907622003466E-3</v>
      </c>
      <c r="D17">
        <f t="shared" si="4"/>
        <v>6.0523564164736117E-3</v>
      </c>
      <c r="E17" s="205"/>
      <c r="F17" s="101"/>
      <c r="G17" s="101"/>
      <c r="H17" s="101"/>
    </row>
    <row r="18" spans="1:8" x14ac:dyDescent="0.25">
      <c r="A18" t="str">
        <f t="shared" si="1"/>
        <v>FR4. Grandes aparatos</v>
      </c>
      <c r="B18">
        <f t="shared" si="2"/>
        <v>0.4967108863382364</v>
      </c>
      <c r="C18">
        <f t="shared" si="3"/>
        <v>0.40822626407917612</v>
      </c>
      <c r="D18">
        <f t="shared" si="4"/>
        <v>0.4507128720770554</v>
      </c>
      <c r="E18" s="205"/>
      <c r="F18" s="101"/>
      <c r="G18" s="101"/>
      <c r="H18" s="101"/>
    </row>
    <row r="19" spans="1:8" x14ac:dyDescent="0.25">
      <c r="A19" t="str">
        <f t="shared" si="1"/>
        <v>FR5. Pequeños aparatos</v>
      </c>
      <c r="B19">
        <f t="shared" si="2"/>
        <v>1.188134441189594E-3</v>
      </c>
      <c r="C19">
        <f t="shared" si="3"/>
        <v>0.21567157536628648</v>
      </c>
      <c r="D19">
        <f t="shared" si="4"/>
        <v>0.17174267022507439</v>
      </c>
      <c r="E19" s="205"/>
      <c r="F19" s="101"/>
      <c r="G19" s="101"/>
      <c r="H19" s="101"/>
    </row>
    <row r="20" spans="1:8" x14ac:dyDescent="0.25">
      <c r="A20" t="str">
        <f t="shared" si="1"/>
        <v xml:space="preserve">FR6. Aparatos de informática y telecomunicaciones pequeños </v>
      </c>
      <c r="B20">
        <f t="shared" si="2"/>
        <v>7.0904573663650829E-3</v>
      </c>
      <c r="C20">
        <f t="shared" si="3"/>
        <v>2.6033774012979145E-2</v>
      </c>
      <c r="D20">
        <f t="shared" si="4"/>
        <v>1.6068263318556882E-2</v>
      </c>
      <c r="E20" s="205"/>
      <c r="F20" s="101"/>
      <c r="G20" s="101"/>
      <c r="H20" s="101"/>
    </row>
    <row r="21" spans="1:8" x14ac:dyDescent="0.25">
      <c r="A21" t="str">
        <f t="shared" si="1"/>
        <v>FR7. Paneles fotovoltaicos</v>
      </c>
      <c r="B21">
        <f t="shared" si="2"/>
        <v>0</v>
      </c>
      <c r="C21">
        <f t="shared" si="3"/>
        <v>1.1086128480727535E-2</v>
      </c>
      <c r="D21">
        <f t="shared" si="4"/>
        <v>1.6424080233423292E-2</v>
      </c>
      <c r="E21" s="205"/>
      <c r="F21" s="101"/>
      <c r="G21" s="101"/>
      <c r="H21" s="101"/>
    </row>
    <row r="22" spans="1:8" x14ac:dyDescent="0.25">
      <c r="A22" s="755"/>
      <c r="B22" s="755"/>
      <c r="C22" s="755"/>
      <c r="D22" s="755"/>
      <c r="E22" s="755"/>
    </row>
    <row r="23" spans="1:8" x14ac:dyDescent="0.25">
      <c r="A23" s="755"/>
      <c r="B23" s="755"/>
      <c r="C23" s="755"/>
      <c r="D23" s="755"/>
      <c r="E23" s="755"/>
    </row>
    <row r="24" spans="1:8" x14ac:dyDescent="0.25">
      <c r="A24" s="755"/>
      <c r="B24" s="755"/>
      <c r="C24" s="755"/>
      <c r="D24" s="755"/>
      <c r="E24" s="755"/>
    </row>
    <row r="25" spans="1:8" x14ac:dyDescent="0.25">
      <c r="A25" s="755"/>
      <c r="B25" s="755"/>
      <c r="C25" s="755"/>
      <c r="D25" s="755"/>
      <c r="E25" s="755"/>
    </row>
    <row r="26" spans="1:8" x14ac:dyDescent="0.25">
      <c r="A26" s="755"/>
      <c r="B26" s="755"/>
      <c r="C26" s="755"/>
      <c r="D26" s="755"/>
      <c r="E26" s="755"/>
    </row>
    <row r="27" spans="1:8" x14ac:dyDescent="0.25">
      <c r="A27" s="755"/>
      <c r="B27" s="755"/>
      <c r="C27" s="755"/>
      <c r="D27" s="755"/>
      <c r="E27" s="755"/>
    </row>
    <row r="28" spans="1:8" x14ac:dyDescent="0.25">
      <c r="A28" s="755"/>
      <c r="B28" s="755"/>
      <c r="C28" s="755"/>
      <c r="D28" s="755"/>
      <c r="E28" s="755"/>
    </row>
    <row r="29" spans="1:8" x14ac:dyDescent="0.25">
      <c r="A29" s="184"/>
      <c r="B29" s="184"/>
      <c r="C29" s="184"/>
      <c r="D29" s="184"/>
      <c r="E29" s="184"/>
    </row>
    <row r="30" spans="1:8" x14ac:dyDescent="0.25">
      <c r="A30" s="184"/>
      <c r="B30" s="184"/>
      <c r="C30" s="184"/>
      <c r="D30" s="184"/>
      <c r="E30" s="184"/>
    </row>
    <row r="31" spans="1:8" x14ac:dyDescent="0.25">
      <c r="A31" s="184"/>
      <c r="B31" s="184"/>
      <c r="C31" s="184"/>
      <c r="D31" s="184"/>
      <c r="E31" s="184"/>
    </row>
    <row r="32" spans="1:8" x14ac:dyDescent="0.25">
      <c r="A32" s="184"/>
      <c r="B32" s="184"/>
      <c r="C32" s="184"/>
      <c r="D32" s="184"/>
      <c r="E32" s="184"/>
    </row>
  </sheetData>
  <mergeCells count="1">
    <mergeCell ref="B3:D3"/>
  </mergeCells>
  <hyperlinks>
    <hyperlink ref="E1" location="Índice!A1" display="ir a índice" xr:uid="{4A12C51A-05BA-4ADF-944E-AA980BFC0C97}"/>
  </hyperlinks>
  <pageMargins left="0.31496062992125984" right="0.31496062992125984" top="0.74803149606299213" bottom="0.74803149606299213" header="0.31496062992125984" footer="0.31496062992125984"/>
  <pageSetup paperSize="9" scale="80" orientation="landscape"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8">
    <tabColor rgb="FFBF8B2E"/>
    <pageSetUpPr fitToPage="1"/>
  </sheetPr>
  <dimension ref="A1:I29"/>
  <sheetViews>
    <sheetView workbookViewId="0">
      <selection activeCell="M1" sqref="M1"/>
    </sheetView>
  </sheetViews>
  <sheetFormatPr baseColWidth="10" defaultColWidth="11.42578125" defaultRowHeight="14.25" x14ac:dyDescent="0.25"/>
  <cols>
    <col min="1" max="1" width="18" style="97" customWidth="1"/>
    <col min="2" max="2" width="11.140625" style="97" customWidth="1"/>
    <col min="3" max="3" width="14.140625" style="97" customWidth="1"/>
    <col min="4" max="4" width="11.5703125" style="97" customWidth="1"/>
    <col min="5" max="5" width="12.85546875" style="97" customWidth="1"/>
    <col min="6" max="6" width="11.42578125" style="97"/>
    <col min="7" max="7" width="11.42578125" style="97" customWidth="1"/>
    <col min="8" max="8" width="2.85546875" style="97" customWidth="1"/>
    <col min="9" max="250" width="11.42578125" style="97"/>
    <col min="251" max="251" width="6.140625" style="97" customWidth="1"/>
    <col min="252" max="252" width="31.5703125" style="97" customWidth="1"/>
    <col min="253" max="506" width="11.42578125" style="97"/>
    <col min="507" max="507" width="6.140625" style="97" customWidth="1"/>
    <col min="508" max="508" width="31.5703125" style="97" customWidth="1"/>
    <col min="509" max="762" width="11.42578125" style="97"/>
    <col min="763" max="763" width="6.140625" style="97" customWidth="1"/>
    <col min="764" max="764" width="31.5703125" style="97" customWidth="1"/>
    <col min="765" max="1018" width="11.42578125" style="97"/>
    <col min="1019" max="1019" width="6.140625" style="97" customWidth="1"/>
    <col min="1020" max="1020" width="31.5703125" style="97" customWidth="1"/>
    <col min="1021" max="1274" width="11.42578125" style="97"/>
    <col min="1275" max="1275" width="6.140625" style="97" customWidth="1"/>
    <col min="1276" max="1276" width="31.5703125" style="97" customWidth="1"/>
    <col min="1277" max="1530" width="11.42578125" style="97"/>
    <col min="1531" max="1531" width="6.140625" style="97" customWidth="1"/>
    <col min="1532" max="1532" width="31.5703125" style="97" customWidth="1"/>
    <col min="1533" max="1786" width="11.42578125" style="97"/>
    <col min="1787" max="1787" width="6.140625" style="97" customWidth="1"/>
    <col min="1788" max="1788" width="31.5703125" style="97" customWidth="1"/>
    <col min="1789" max="2042" width="11.42578125" style="97"/>
    <col min="2043" max="2043" width="6.140625" style="97" customWidth="1"/>
    <col min="2044" max="2044" width="31.5703125" style="97" customWidth="1"/>
    <col min="2045" max="2298" width="11.42578125" style="97"/>
    <col min="2299" max="2299" width="6.140625" style="97" customWidth="1"/>
    <col min="2300" max="2300" width="31.5703125" style="97" customWidth="1"/>
    <col min="2301" max="2554" width="11.42578125" style="97"/>
    <col min="2555" max="2555" width="6.140625" style="97" customWidth="1"/>
    <col min="2556" max="2556" width="31.5703125" style="97" customWidth="1"/>
    <col min="2557" max="2810" width="11.42578125" style="97"/>
    <col min="2811" max="2811" width="6.140625" style="97" customWidth="1"/>
    <col min="2812" max="2812" width="31.5703125" style="97" customWidth="1"/>
    <col min="2813" max="3066" width="11.42578125" style="97"/>
    <col min="3067" max="3067" width="6.140625" style="97" customWidth="1"/>
    <col min="3068" max="3068" width="31.5703125" style="97" customWidth="1"/>
    <col min="3069" max="3322" width="11.42578125" style="97"/>
    <col min="3323" max="3323" width="6.140625" style="97" customWidth="1"/>
    <col min="3324" max="3324" width="31.5703125" style="97" customWidth="1"/>
    <col min="3325" max="3578" width="11.42578125" style="97"/>
    <col min="3579" max="3579" width="6.140625" style="97" customWidth="1"/>
    <col min="3580" max="3580" width="31.5703125" style="97" customWidth="1"/>
    <col min="3581" max="3834" width="11.42578125" style="97"/>
    <col min="3835" max="3835" width="6.140625" style="97" customWidth="1"/>
    <col min="3836" max="3836" width="31.5703125" style="97" customWidth="1"/>
    <col min="3837" max="4090" width="11.42578125" style="97"/>
    <col min="4091" max="4091" width="6.140625" style="97" customWidth="1"/>
    <col min="4092" max="4092" width="31.5703125" style="97" customWidth="1"/>
    <col min="4093" max="4346" width="11.42578125" style="97"/>
    <col min="4347" max="4347" width="6.140625" style="97" customWidth="1"/>
    <col min="4348" max="4348" width="31.5703125" style="97" customWidth="1"/>
    <col min="4349" max="4602" width="11.42578125" style="97"/>
    <col min="4603" max="4603" width="6.140625" style="97" customWidth="1"/>
    <col min="4604" max="4604" width="31.5703125" style="97" customWidth="1"/>
    <col min="4605" max="4858" width="11.42578125" style="97"/>
    <col min="4859" max="4859" width="6.140625" style="97" customWidth="1"/>
    <col min="4860" max="4860" width="31.5703125" style="97" customWidth="1"/>
    <col min="4861" max="5114" width="11.42578125" style="97"/>
    <col min="5115" max="5115" width="6.140625" style="97" customWidth="1"/>
    <col min="5116" max="5116" width="31.5703125" style="97" customWidth="1"/>
    <col min="5117" max="5370" width="11.42578125" style="97"/>
    <col min="5371" max="5371" width="6.140625" style="97" customWidth="1"/>
    <col min="5372" max="5372" width="31.5703125" style="97" customWidth="1"/>
    <col min="5373" max="5626" width="11.42578125" style="97"/>
    <col min="5627" max="5627" width="6.140625" style="97" customWidth="1"/>
    <col min="5628" max="5628" width="31.5703125" style="97" customWidth="1"/>
    <col min="5629" max="5882" width="11.42578125" style="97"/>
    <col min="5883" max="5883" width="6.140625" style="97" customWidth="1"/>
    <col min="5884" max="5884" width="31.5703125" style="97" customWidth="1"/>
    <col min="5885" max="6138" width="11.42578125" style="97"/>
    <col min="6139" max="6139" width="6.140625" style="97" customWidth="1"/>
    <col min="6140" max="6140" width="31.5703125" style="97" customWidth="1"/>
    <col min="6141" max="6394" width="11.42578125" style="97"/>
    <col min="6395" max="6395" width="6.140625" style="97" customWidth="1"/>
    <col min="6396" max="6396" width="31.5703125" style="97" customWidth="1"/>
    <col min="6397" max="6650" width="11.42578125" style="97"/>
    <col min="6651" max="6651" width="6.140625" style="97" customWidth="1"/>
    <col min="6652" max="6652" width="31.5703125" style="97" customWidth="1"/>
    <col min="6653" max="6906" width="11.42578125" style="97"/>
    <col min="6907" max="6907" width="6.140625" style="97" customWidth="1"/>
    <col min="6908" max="6908" width="31.5703125" style="97" customWidth="1"/>
    <col min="6909" max="7162" width="11.42578125" style="97"/>
    <col min="7163" max="7163" width="6.140625" style="97" customWidth="1"/>
    <col min="7164" max="7164" width="31.5703125" style="97" customWidth="1"/>
    <col min="7165" max="7418" width="11.42578125" style="97"/>
    <col min="7419" max="7419" width="6.140625" style="97" customWidth="1"/>
    <col min="7420" max="7420" width="31.5703125" style="97" customWidth="1"/>
    <col min="7421" max="7674" width="11.42578125" style="97"/>
    <col min="7675" max="7675" width="6.140625" style="97" customWidth="1"/>
    <col min="7676" max="7676" width="31.5703125" style="97" customWidth="1"/>
    <col min="7677" max="7930" width="11.42578125" style="97"/>
    <col min="7931" max="7931" width="6.140625" style="97" customWidth="1"/>
    <col min="7932" max="7932" width="31.5703125" style="97" customWidth="1"/>
    <col min="7933" max="8186" width="11.42578125" style="97"/>
    <col min="8187" max="8187" width="6.140625" style="97" customWidth="1"/>
    <col min="8188" max="8188" width="31.5703125" style="97" customWidth="1"/>
    <col min="8189" max="8442" width="11.42578125" style="97"/>
    <col min="8443" max="8443" width="6.140625" style="97" customWidth="1"/>
    <col min="8444" max="8444" width="31.5703125" style="97" customWidth="1"/>
    <col min="8445" max="8698" width="11.42578125" style="97"/>
    <col min="8699" max="8699" width="6.140625" style="97" customWidth="1"/>
    <col min="8700" max="8700" width="31.5703125" style="97" customWidth="1"/>
    <col min="8701" max="8954" width="11.42578125" style="97"/>
    <col min="8955" max="8955" width="6.140625" style="97" customWidth="1"/>
    <col min="8956" max="8956" width="31.5703125" style="97" customWidth="1"/>
    <col min="8957" max="9210" width="11.42578125" style="97"/>
    <col min="9211" max="9211" width="6.140625" style="97" customWidth="1"/>
    <col min="9212" max="9212" width="31.5703125" style="97" customWidth="1"/>
    <col min="9213" max="9466" width="11.42578125" style="97"/>
    <col min="9467" max="9467" width="6.140625" style="97" customWidth="1"/>
    <col min="9468" max="9468" width="31.5703125" style="97" customWidth="1"/>
    <col min="9469" max="9722" width="11.42578125" style="97"/>
    <col min="9723" max="9723" width="6.140625" style="97" customWidth="1"/>
    <col min="9724" max="9724" width="31.5703125" style="97" customWidth="1"/>
    <col min="9725" max="9978" width="11.42578125" style="97"/>
    <col min="9979" max="9979" width="6.140625" style="97" customWidth="1"/>
    <col min="9980" max="9980" width="31.5703125" style="97" customWidth="1"/>
    <col min="9981" max="10234" width="11.42578125" style="97"/>
    <col min="10235" max="10235" width="6.140625" style="97" customWidth="1"/>
    <col min="10236" max="10236" width="31.5703125" style="97" customWidth="1"/>
    <col min="10237" max="10490" width="11.42578125" style="97"/>
    <col min="10491" max="10491" width="6.140625" style="97" customWidth="1"/>
    <col min="10492" max="10492" width="31.5703125" style="97" customWidth="1"/>
    <col min="10493" max="10746" width="11.42578125" style="97"/>
    <col min="10747" max="10747" width="6.140625" style="97" customWidth="1"/>
    <col min="10748" max="10748" width="31.5703125" style="97" customWidth="1"/>
    <col min="10749" max="11002" width="11.42578125" style="97"/>
    <col min="11003" max="11003" width="6.140625" style="97" customWidth="1"/>
    <col min="11004" max="11004" width="31.5703125" style="97" customWidth="1"/>
    <col min="11005" max="11258" width="11.42578125" style="97"/>
    <col min="11259" max="11259" width="6.140625" style="97" customWidth="1"/>
    <col min="11260" max="11260" width="31.5703125" style="97" customWidth="1"/>
    <col min="11261" max="11514" width="11.42578125" style="97"/>
    <col min="11515" max="11515" width="6.140625" style="97" customWidth="1"/>
    <col min="11516" max="11516" width="31.5703125" style="97" customWidth="1"/>
    <col min="11517" max="11770" width="11.42578125" style="97"/>
    <col min="11771" max="11771" width="6.140625" style="97" customWidth="1"/>
    <col min="11772" max="11772" width="31.5703125" style="97" customWidth="1"/>
    <col min="11773" max="12026" width="11.42578125" style="97"/>
    <col min="12027" max="12027" width="6.140625" style="97" customWidth="1"/>
    <col min="12028" max="12028" width="31.5703125" style="97" customWidth="1"/>
    <col min="12029" max="12282" width="11.42578125" style="97"/>
    <col min="12283" max="12283" width="6.140625" style="97" customWidth="1"/>
    <col min="12284" max="12284" width="31.5703125" style="97" customWidth="1"/>
    <col min="12285" max="12538" width="11.42578125" style="97"/>
    <col min="12539" max="12539" width="6.140625" style="97" customWidth="1"/>
    <col min="12540" max="12540" width="31.5703125" style="97" customWidth="1"/>
    <col min="12541" max="12794" width="11.42578125" style="97"/>
    <col min="12795" max="12795" width="6.140625" style="97" customWidth="1"/>
    <col min="12796" max="12796" width="31.5703125" style="97" customWidth="1"/>
    <col min="12797" max="13050" width="11.42578125" style="97"/>
    <col min="13051" max="13051" width="6.140625" style="97" customWidth="1"/>
    <col min="13052" max="13052" width="31.5703125" style="97" customWidth="1"/>
    <col min="13053" max="13306" width="11.42578125" style="97"/>
    <col min="13307" max="13307" width="6.140625" style="97" customWidth="1"/>
    <col min="13308" max="13308" width="31.5703125" style="97" customWidth="1"/>
    <col min="13309" max="13562" width="11.42578125" style="97"/>
    <col min="13563" max="13563" width="6.140625" style="97" customWidth="1"/>
    <col min="13564" max="13564" width="31.5703125" style="97" customWidth="1"/>
    <col min="13565" max="13818" width="11.42578125" style="97"/>
    <col min="13819" max="13819" width="6.140625" style="97" customWidth="1"/>
    <col min="13820" max="13820" width="31.5703125" style="97" customWidth="1"/>
    <col min="13821" max="14074" width="11.42578125" style="97"/>
    <col min="14075" max="14075" width="6.140625" style="97" customWidth="1"/>
    <col min="14076" max="14076" width="31.5703125" style="97" customWidth="1"/>
    <col min="14077" max="14330" width="11.42578125" style="97"/>
    <col min="14331" max="14331" width="6.140625" style="97" customWidth="1"/>
    <col min="14332" max="14332" width="31.5703125" style="97" customWidth="1"/>
    <col min="14333" max="14586" width="11.42578125" style="97"/>
    <col min="14587" max="14587" width="6.140625" style="97" customWidth="1"/>
    <col min="14588" max="14588" width="31.5703125" style="97" customWidth="1"/>
    <col min="14589" max="14842" width="11.42578125" style="97"/>
    <col min="14843" max="14843" width="6.140625" style="97" customWidth="1"/>
    <col min="14844" max="14844" width="31.5703125" style="97" customWidth="1"/>
    <col min="14845" max="15098" width="11.42578125" style="97"/>
    <col min="15099" max="15099" width="6.140625" style="97" customWidth="1"/>
    <col min="15100" max="15100" width="31.5703125" style="97" customWidth="1"/>
    <col min="15101" max="15354" width="11.42578125" style="97"/>
    <col min="15355" max="15355" width="6.140625" style="97" customWidth="1"/>
    <col min="15356" max="15356" width="31.5703125" style="97" customWidth="1"/>
    <col min="15357" max="15610" width="11.42578125" style="97"/>
    <col min="15611" max="15611" width="6.140625" style="97" customWidth="1"/>
    <col min="15612" max="15612" width="31.5703125" style="97" customWidth="1"/>
    <col min="15613" max="15866" width="11.42578125" style="97"/>
    <col min="15867" max="15867" width="6.140625" style="97" customWidth="1"/>
    <col min="15868" max="15868" width="31.5703125" style="97" customWidth="1"/>
    <col min="15869" max="16122" width="11.42578125" style="97"/>
    <col min="16123" max="16123" width="6.140625" style="97" customWidth="1"/>
    <col min="16124" max="16124" width="31.5703125" style="97" customWidth="1"/>
    <col min="16125" max="16384" width="11.42578125" style="97"/>
  </cols>
  <sheetData>
    <row r="1" spans="1:9" x14ac:dyDescent="0.25">
      <c r="A1" s="555" t="s">
        <v>1181</v>
      </c>
      <c r="E1" s="942" t="s">
        <v>1230</v>
      </c>
    </row>
    <row r="2" spans="1:9" x14ac:dyDescent="0.25">
      <c r="A2" s="555" t="s">
        <v>429</v>
      </c>
    </row>
    <row r="3" spans="1:9" ht="17.25" customHeight="1" x14ac:dyDescent="0.25">
      <c r="A3" s="982"/>
      <c r="B3" s="982"/>
      <c r="C3" s="982"/>
      <c r="D3" s="982"/>
      <c r="E3" s="983"/>
      <c r="F3" s="983"/>
      <c r="G3" s="983"/>
      <c r="H3" s="983"/>
      <c r="I3" s="106"/>
    </row>
    <row r="4" spans="1:9" ht="27.75" customHeight="1" x14ac:dyDescent="0.25">
      <c r="A4" s="247"/>
      <c r="B4" s="247"/>
      <c r="C4" s="247"/>
      <c r="D4" s="247"/>
      <c r="E4" s="247"/>
      <c r="F4" s="247"/>
      <c r="G4" s="247"/>
      <c r="H4" s="247"/>
      <c r="I4" s="106"/>
    </row>
    <row r="5" spans="1:9" x14ac:dyDescent="0.25">
      <c r="A5" s="248"/>
      <c r="B5" s="248"/>
      <c r="C5" s="248"/>
      <c r="D5" s="248"/>
      <c r="E5" s="249"/>
      <c r="F5" s="250"/>
      <c r="G5" s="251"/>
      <c r="H5" s="252"/>
      <c r="I5" s="106"/>
    </row>
    <row r="6" spans="1:9" x14ac:dyDescent="0.25">
      <c r="A6" s="248"/>
      <c r="B6" s="248"/>
      <c r="C6" s="248"/>
      <c r="D6" s="248"/>
      <c r="E6" s="249"/>
      <c r="F6" s="250"/>
      <c r="G6" s="251"/>
      <c r="H6" s="252"/>
      <c r="I6" s="106"/>
    </row>
    <row r="7" spans="1:9" x14ac:dyDescent="0.25">
      <c r="A7" s="248"/>
      <c r="B7" s="248"/>
      <c r="C7" s="248"/>
      <c r="D7" s="248"/>
      <c r="E7" s="249"/>
      <c r="F7" s="250"/>
      <c r="G7" s="251"/>
      <c r="H7" s="252"/>
      <c r="I7" s="106"/>
    </row>
    <row r="8" spans="1:9" x14ac:dyDescent="0.25">
      <c r="A8" s="248"/>
      <c r="B8" s="248"/>
      <c r="C8" s="248"/>
      <c r="D8" s="248"/>
      <c r="E8" s="249"/>
      <c r="F8" s="250"/>
      <c r="G8" s="251"/>
      <c r="H8" s="252"/>
      <c r="I8" s="106"/>
    </row>
    <row r="9" spans="1:9" x14ac:dyDescent="0.25">
      <c r="A9" s="248"/>
      <c r="B9" s="248"/>
      <c r="C9" s="248"/>
      <c r="D9" s="248"/>
      <c r="E9" s="249"/>
      <c r="F9" s="250"/>
      <c r="G9" s="251"/>
      <c r="H9" s="252"/>
      <c r="I9" s="106"/>
    </row>
    <row r="10" spans="1:9" x14ac:dyDescent="0.25">
      <c r="A10" s="248"/>
      <c r="B10" s="248"/>
      <c r="C10" s="248"/>
      <c r="D10" s="248"/>
      <c r="E10" s="249"/>
      <c r="F10" s="250"/>
      <c r="G10" s="251"/>
      <c r="H10" s="252"/>
      <c r="I10" s="106"/>
    </row>
    <row r="11" spans="1:9" x14ac:dyDescent="0.25">
      <c r="A11" s="253"/>
      <c r="B11" s="253"/>
      <c r="C11" s="253"/>
      <c r="D11" s="253"/>
      <c r="E11" s="254"/>
      <c r="F11" s="254"/>
      <c r="G11" s="255"/>
      <c r="H11" s="254"/>
      <c r="I11" s="106"/>
    </row>
    <row r="12" spans="1:9" x14ac:dyDescent="0.25">
      <c r="A12" s="253"/>
      <c r="B12" s="253"/>
      <c r="C12" s="253"/>
      <c r="D12" s="253"/>
      <c r="E12" s="254"/>
      <c r="F12" s="254"/>
      <c r="G12" s="255"/>
      <c r="H12" s="254"/>
      <c r="I12" s="106"/>
    </row>
    <row r="13" spans="1:9" x14ac:dyDescent="0.25">
      <c r="A13" s="256"/>
      <c r="B13" s="256"/>
      <c r="C13" s="256"/>
      <c r="D13" s="256"/>
      <c r="E13" s="184"/>
      <c r="F13" s="184"/>
      <c r="G13" s="184"/>
      <c r="H13" s="184"/>
      <c r="I13" s="106"/>
    </row>
    <row r="14" spans="1:9" x14ac:dyDescent="0.25">
      <c r="A14" s="257"/>
      <c r="B14" s="257"/>
      <c r="C14" s="257"/>
      <c r="D14" s="257"/>
      <c r="E14" s="184"/>
      <c r="F14" s="184"/>
      <c r="G14" s="184"/>
      <c r="H14" s="184"/>
      <c r="I14" s="106"/>
    </row>
    <row r="15" spans="1:9" x14ac:dyDescent="0.25">
      <c r="A15" s="257"/>
      <c r="B15" s="257"/>
      <c r="C15" s="257"/>
      <c r="D15" s="257"/>
      <c r="E15" s="184"/>
      <c r="F15" s="184"/>
      <c r="G15" s="184"/>
      <c r="H15" s="184"/>
      <c r="I15" s="106"/>
    </row>
    <row r="16" spans="1:9" x14ac:dyDescent="0.25">
      <c r="A16" s="257"/>
      <c r="B16" s="257"/>
      <c r="C16" s="257"/>
      <c r="D16" s="257"/>
      <c r="E16" s="184"/>
      <c r="F16" s="184"/>
      <c r="G16" s="184"/>
      <c r="H16" s="184"/>
      <c r="I16" s="106"/>
    </row>
    <row r="17" spans="1:9" x14ac:dyDescent="0.25">
      <c r="A17" s="257"/>
      <c r="B17" s="257"/>
      <c r="C17" s="257"/>
      <c r="D17" s="257"/>
      <c r="E17" s="184"/>
      <c r="F17" s="184"/>
      <c r="G17" s="184"/>
      <c r="H17" s="184"/>
      <c r="I17" s="106"/>
    </row>
    <row r="18" spans="1:9" x14ac:dyDescent="0.25">
      <c r="A18" s="257"/>
      <c r="B18" s="257"/>
      <c r="C18" s="257"/>
      <c r="D18" s="257"/>
      <c r="E18" s="184"/>
      <c r="F18" s="184"/>
      <c r="G18" s="184"/>
      <c r="H18" s="184"/>
      <c r="I18" s="106"/>
    </row>
    <row r="19" spans="1:9" x14ac:dyDescent="0.25">
      <c r="A19" s="257"/>
      <c r="B19" s="257"/>
      <c r="C19" s="257"/>
      <c r="D19" s="257"/>
      <c r="E19" s="184"/>
      <c r="F19" s="184"/>
      <c r="G19" s="184"/>
      <c r="H19" s="184"/>
      <c r="I19" s="106"/>
    </row>
    <row r="20" spans="1:9" x14ac:dyDescent="0.25">
      <c r="A20" s="203"/>
      <c r="B20" s="203"/>
      <c r="C20" s="203"/>
      <c r="D20" s="204"/>
      <c r="E20" s="101"/>
      <c r="F20" s="101"/>
      <c r="G20" s="101"/>
      <c r="H20" s="101"/>
    </row>
    <row r="21" spans="1:9" x14ac:dyDescent="0.25">
      <c r="A21" s="203"/>
      <c r="B21" s="203"/>
      <c r="C21" s="203"/>
      <c r="D21" s="204"/>
      <c r="E21" s="101"/>
      <c r="F21" s="101"/>
      <c r="G21" s="101"/>
      <c r="H21" s="101"/>
    </row>
    <row r="22" spans="1:9" x14ac:dyDescent="0.25">
      <c r="A22" s="203"/>
      <c r="B22" s="203"/>
      <c r="C22" s="203"/>
      <c r="D22" s="204"/>
      <c r="E22" s="101"/>
      <c r="F22" s="101"/>
      <c r="G22" s="101"/>
      <c r="H22" s="101"/>
    </row>
    <row r="23" spans="1:9" x14ac:dyDescent="0.25">
      <c r="A23" s="203"/>
      <c r="B23" s="203"/>
      <c r="C23" s="203"/>
      <c r="D23" s="204"/>
      <c r="E23" s="101"/>
      <c r="F23" s="101"/>
      <c r="G23" s="101"/>
      <c r="H23" s="101"/>
    </row>
    <row r="24" spans="1:9" x14ac:dyDescent="0.25">
      <c r="A24" s="203"/>
      <c r="B24" s="203"/>
      <c r="C24" s="203"/>
      <c r="D24" s="204"/>
      <c r="E24" s="101"/>
      <c r="F24" s="101"/>
      <c r="G24" s="101"/>
      <c r="H24" s="101"/>
    </row>
    <row r="25" spans="1:9" x14ac:dyDescent="0.25">
      <c r="A25" s="203"/>
      <c r="B25" s="203"/>
      <c r="C25" s="203"/>
      <c r="D25" s="204"/>
      <c r="E25" s="101"/>
      <c r="F25" s="101"/>
      <c r="G25" s="101"/>
      <c r="H25" s="101"/>
    </row>
    <row r="26" spans="1:9" x14ac:dyDescent="0.25">
      <c r="A26" s="203"/>
      <c r="B26" s="203"/>
      <c r="C26" s="203"/>
      <c r="D26" s="204"/>
      <c r="E26" s="101"/>
      <c r="F26" s="101"/>
      <c r="G26" s="101"/>
      <c r="H26" s="101"/>
    </row>
    <row r="27" spans="1:9" x14ac:dyDescent="0.25">
      <c r="A27" s="170"/>
      <c r="B27" s="171"/>
      <c r="C27" s="171"/>
      <c r="D27" s="173"/>
    </row>
    <row r="28" spans="1:9" x14ac:dyDescent="0.25">
      <c r="A28" s="105"/>
      <c r="B28" s="105"/>
      <c r="C28" s="105"/>
      <c r="D28" s="174"/>
    </row>
    <row r="29" spans="1:9" x14ac:dyDescent="0.25">
      <c r="C29" s="99"/>
    </row>
  </sheetData>
  <mergeCells count="2">
    <mergeCell ref="A3:D3"/>
    <mergeCell ref="E3:H3"/>
  </mergeCells>
  <hyperlinks>
    <hyperlink ref="E1" location="Índice!A1" display="ir a índice" xr:uid="{D1BA326C-F65C-42C5-B4F5-E36B70977A8E}"/>
  </hyperlinks>
  <pageMargins left="0.31496062992125984" right="0.31496062992125984" top="0.74803149606299213" bottom="0.74803149606299213" header="0.31496062992125984" footer="0.31496062992125984"/>
  <pageSetup paperSize="9" scale="8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9">
    <tabColor rgb="FFBF8B2E"/>
  </sheetPr>
  <dimension ref="A1:M32"/>
  <sheetViews>
    <sheetView zoomScale="115" zoomScaleNormal="115" workbookViewId="0">
      <selection activeCell="M1" sqref="M1"/>
    </sheetView>
  </sheetViews>
  <sheetFormatPr baseColWidth="10" defaultColWidth="9.140625" defaultRowHeight="14.25" x14ac:dyDescent="0.25"/>
  <cols>
    <col min="1" max="1" width="36.85546875" style="2" customWidth="1"/>
    <col min="2" max="2" width="8.5703125" style="3" hidden="1" customWidth="1"/>
    <col min="3" max="3" width="9.28515625" style="3" hidden="1" customWidth="1"/>
    <col min="4" max="4" width="9" style="3" hidden="1" customWidth="1"/>
    <col min="5" max="5" width="12.85546875" style="3" customWidth="1"/>
    <col min="6" max="7" width="7.7109375" style="16" customWidth="1"/>
    <col min="8" max="8" width="7.7109375" style="14" customWidth="1"/>
    <col min="9" max="12" width="7.7109375" style="6" customWidth="1"/>
    <col min="13" max="13" width="39.85546875" style="14" customWidth="1"/>
    <col min="14" max="14" width="21.28515625" style="6" customWidth="1"/>
    <col min="15" max="16384" width="9.140625" style="6"/>
  </cols>
  <sheetData>
    <row r="1" spans="1:13" x14ac:dyDescent="0.25">
      <c r="A1" s="555" t="s">
        <v>1182</v>
      </c>
      <c r="B1" s="20"/>
      <c r="C1" s="14"/>
      <c r="D1" s="65"/>
      <c r="E1" s="942" t="s">
        <v>1230</v>
      </c>
      <c r="F1" s="6"/>
      <c r="H1" s="66"/>
      <c r="M1" s="942" t="s">
        <v>1230</v>
      </c>
    </row>
    <row r="2" spans="1:13" x14ac:dyDescent="0.25">
      <c r="A2" s="555" t="s">
        <v>429</v>
      </c>
    </row>
    <row r="3" spans="1:13" s="67" customFormat="1" x14ac:dyDescent="0.25">
      <c r="A3" t="s">
        <v>1008</v>
      </c>
      <c r="B3" t="s">
        <v>1105</v>
      </c>
      <c r="C3" t="s">
        <v>1106</v>
      </c>
      <c r="D3" t="s">
        <v>1107</v>
      </c>
      <c r="E3" t="s">
        <v>1108</v>
      </c>
      <c r="F3" t="s">
        <v>1109</v>
      </c>
      <c r="G3" t="s">
        <v>1110</v>
      </c>
      <c r="H3" t="s">
        <v>1111</v>
      </c>
      <c r="I3" t="s">
        <v>1112</v>
      </c>
      <c r="J3" t="s">
        <v>1113</v>
      </c>
      <c r="K3" t="s">
        <v>1114</v>
      </c>
      <c r="L3" t="s">
        <v>1115</v>
      </c>
    </row>
    <row r="4" spans="1:13" s="68" customFormat="1" ht="28.5" x14ac:dyDescent="0.25">
      <c r="A4" t="s">
        <v>430</v>
      </c>
      <c r="B4">
        <v>8906</v>
      </c>
      <c r="C4">
        <v>7289</v>
      </c>
      <c r="D4">
        <v>4241</v>
      </c>
      <c r="E4">
        <v>4457</v>
      </c>
      <c r="F4">
        <v>5940</v>
      </c>
      <c r="G4">
        <v>7172.6103066637797</v>
      </c>
      <c r="H4">
        <v>7967.6015427372158</v>
      </c>
      <c r="I4">
        <v>8276.4680618675466</v>
      </c>
      <c r="J4">
        <v>8612.6889641590606</v>
      </c>
      <c r="K4">
        <v>9723.6919468071155</v>
      </c>
      <c r="L4">
        <f>'Tabla 1.5-26'!F13</f>
        <v>11105.193039389895</v>
      </c>
      <c r="M4" s="269"/>
    </row>
    <row r="5" spans="1:13" s="68" customFormat="1" ht="28.5" x14ac:dyDescent="0.25">
      <c r="A5" t="s">
        <v>431</v>
      </c>
      <c r="B5">
        <v>292</v>
      </c>
      <c r="C5">
        <v>242</v>
      </c>
      <c r="D5">
        <v>343</v>
      </c>
      <c r="E5">
        <v>525</v>
      </c>
      <c r="F5">
        <v>425</v>
      </c>
      <c r="G5">
        <v>942.68397789890594</v>
      </c>
      <c r="H5">
        <v>2375.9445836189616</v>
      </c>
      <c r="I5">
        <v>1990.6790683087886</v>
      </c>
      <c r="J5">
        <v>3533.9571336434255</v>
      </c>
      <c r="K5">
        <v>2519.5974047182322</v>
      </c>
      <c r="L5">
        <f>'Tabla 1.5-26'!N13</f>
        <v>3732.512532556314</v>
      </c>
      <c r="M5" s="269"/>
    </row>
    <row r="6" spans="1:13" s="2" customFormat="1" x14ac:dyDescent="0.25">
      <c r="A6" t="s">
        <v>432</v>
      </c>
      <c r="B6">
        <v>9198</v>
      </c>
      <c r="C6">
        <v>7531</v>
      </c>
      <c r="D6">
        <v>4584</v>
      </c>
      <c r="E6">
        <v>4982</v>
      </c>
      <c r="F6">
        <v>6362</v>
      </c>
      <c r="G6">
        <v>8115.2942845626858</v>
      </c>
      <c r="H6">
        <v>10343.546126356177</v>
      </c>
      <c r="I6">
        <v>10267.147130176336</v>
      </c>
      <c r="J6">
        <v>12146.646097802486</v>
      </c>
      <c r="K6">
        <v>12243.289351525347</v>
      </c>
      <c r="L6">
        <f>SUM(L4:L5)</f>
        <v>14837.705571946208</v>
      </c>
    </row>
    <row r="7" spans="1:13" x14ac:dyDescent="0.25">
      <c r="A7" t="s">
        <v>433</v>
      </c>
      <c r="B7">
        <v>6.5995181905152185</v>
      </c>
      <c r="C7">
        <v>5.4104777196303306</v>
      </c>
      <c r="D7">
        <v>3.2</v>
      </c>
      <c r="E7">
        <v>3.3817416957435289</v>
      </c>
      <c r="F7">
        <v>4.5</v>
      </c>
      <c r="G7">
        <v>5.4805045323123434</v>
      </c>
      <c r="H7">
        <v>6.0880500323498969</v>
      </c>
      <c r="I7">
        <v>6.2734211495928847</v>
      </c>
      <c r="J7">
        <v>6.4786725381464594</v>
      </c>
      <c r="K7">
        <v>7.3316579065561882</v>
      </c>
      <c r="L7">
        <f>L4*1000/1326315</f>
        <v>8.3729679897987239</v>
      </c>
      <c r="M7" s="6"/>
    </row>
    <row r="8" spans="1:13" x14ac:dyDescent="0.25">
      <c r="A8"/>
      <c r="B8"/>
      <c r="C8"/>
      <c r="D8"/>
      <c r="E8"/>
      <c r="F8"/>
      <c r="G8"/>
      <c r="H8"/>
      <c r="I8"/>
      <c r="J8"/>
      <c r="K8"/>
      <c r="L8"/>
    </row>
    <row r="10" spans="1:13" x14ac:dyDescent="0.25">
      <c r="J10" s="102"/>
      <c r="K10" s="97"/>
      <c r="L10" s="97"/>
      <c r="M10" s="100"/>
    </row>
    <row r="11" spans="1:13" x14ac:dyDescent="0.25">
      <c r="J11" s="98"/>
      <c r="K11" s="98"/>
      <c r="L11" s="98"/>
      <c r="M11" s="183"/>
    </row>
    <row r="32" spans="1:1" x14ac:dyDescent="0.25">
      <c r="A32" s="172"/>
    </row>
  </sheetData>
  <sheetProtection selectLockedCells="1" selectUnlockedCells="1"/>
  <phoneticPr fontId="33" type="noConversion"/>
  <hyperlinks>
    <hyperlink ref="E1" location="Índice!A1" display="ir a índice" xr:uid="{94275929-2A0E-44F2-AEA4-BF6C836178D3}"/>
    <hyperlink ref="M1" location="Índice!A1" display="ir a índice" xr:uid="{ECF87B48-242C-495D-8877-FA33460E84D8}"/>
  </hyperlinks>
  <pageMargins left="0.27013888888888887" right="0.19027777777777777" top="0.35" bottom="1" header="0.51180555555555551" footer="0.51180555555555551"/>
  <pageSetup paperSize="9" firstPageNumber="0" orientation="landscape" horizontalDpi="300" verticalDpi="300" r:id="rId1"/>
  <headerFooter alignWithMargins="0"/>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0">
    <tabColor rgb="FFBF8B2E"/>
  </sheetPr>
  <dimension ref="A1:H11"/>
  <sheetViews>
    <sheetView workbookViewId="0">
      <selection activeCell="M1" sqref="M1"/>
    </sheetView>
  </sheetViews>
  <sheetFormatPr baseColWidth="10" defaultColWidth="9.140625" defaultRowHeight="14.25" x14ac:dyDescent="0.25"/>
  <cols>
    <col min="1" max="1" width="51.7109375" style="2" customWidth="1"/>
    <col min="2" max="2" width="26.42578125" style="2" customWidth="1"/>
    <col min="3" max="3" width="12.42578125" style="2" customWidth="1"/>
    <col min="4" max="4" width="14.140625" style="2" customWidth="1"/>
    <col min="5" max="5" width="12.85546875" style="16" customWidth="1"/>
    <col min="6" max="6" width="11.28515625" style="16" customWidth="1"/>
    <col min="7" max="7" width="11.42578125" style="14" customWidth="1"/>
    <col min="8" max="8" width="11.5703125" style="6" customWidth="1"/>
    <col min="9" max="16384" width="9.140625" style="6"/>
  </cols>
  <sheetData>
    <row r="1" spans="1:8" x14ac:dyDescent="0.25">
      <c r="A1" s="555" t="s">
        <v>1183</v>
      </c>
      <c r="B1" s="6"/>
      <c r="C1" s="6"/>
      <c r="D1" s="14"/>
      <c r="E1" s="942" t="s">
        <v>1230</v>
      </c>
    </row>
    <row r="2" spans="1:8" x14ac:dyDescent="0.25">
      <c r="A2" s="555" t="s">
        <v>440</v>
      </c>
      <c r="C2" s="18"/>
      <c r="E2" s="17"/>
    </row>
    <row r="3" spans="1:8" x14ac:dyDescent="0.25">
      <c r="A3" t="s">
        <v>1008</v>
      </c>
      <c r="B3" t="s">
        <v>1115</v>
      </c>
      <c r="D3" s="3"/>
      <c r="E3" s="31"/>
      <c r="F3" s="31"/>
    </row>
    <row r="4" spans="1:8" x14ac:dyDescent="0.25">
      <c r="A4" t="s">
        <v>434</v>
      </c>
      <c r="B4">
        <v>161.47</v>
      </c>
      <c r="D4" s="3"/>
      <c r="E4" s="31"/>
      <c r="F4" s="31"/>
    </row>
    <row r="5" spans="1:8" x14ac:dyDescent="0.25">
      <c r="A5" t="s">
        <v>435</v>
      </c>
      <c r="B5">
        <v>107</v>
      </c>
      <c r="D5" s="3"/>
      <c r="E5" s="31"/>
      <c r="F5" s="31"/>
    </row>
    <row r="6" spans="1:8" x14ac:dyDescent="0.25">
      <c r="A6" t="s">
        <v>436</v>
      </c>
      <c r="B6">
        <v>550</v>
      </c>
      <c r="D6" s="3"/>
      <c r="E6" s="31"/>
      <c r="F6" s="186"/>
      <c r="G6" s="175"/>
      <c r="H6" s="95"/>
    </row>
    <row r="7" spans="1:8" x14ac:dyDescent="0.25">
      <c r="A7" t="s">
        <v>197</v>
      </c>
      <c r="B7">
        <v>1159405</v>
      </c>
      <c r="D7" s="3"/>
      <c r="E7" s="31"/>
      <c r="F7" s="186"/>
      <c r="G7" s="187"/>
      <c r="H7" s="95"/>
    </row>
    <row r="8" spans="1:8" ht="28.5" x14ac:dyDescent="0.25">
      <c r="A8" t="s">
        <v>190</v>
      </c>
      <c r="B8">
        <f>B7/1326315</f>
        <v>0.87415508382247054</v>
      </c>
      <c r="E8" s="6"/>
      <c r="F8" s="95"/>
      <c r="G8" s="95"/>
      <c r="H8" s="95"/>
    </row>
    <row r="9" spans="1:8" x14ac:dyDescent="0.25">
      <c r="A9" t="s">
        <v>437</v>
      </c>
      <c r="B9">
        <f>B4*1000/B7</f>
        <v>0.13926971161932197</v>
      </c>
      <c r="E9" s="6"/>
      <c r="F9" s="95"/>
      <c r="G9" s="95"/>
      <c r="H9" s="95"/>
    </row>
    <row r="10" spans="1:8" x14ac:dyDescent="0.25">
      <c r="A10" t="s">
        <v>438</v>
      </c>
      <c r="B10">
        <v>0.42439928349535261</v>
      </c>
      <c r="E10" s="6"/>
      <c r="F10" s="95"/>
      <c r="G10" s="95"/>
      <c r="H10" s="95"/>
    </row>
    <row r="11" spans="1:8" x14ac:dyDescent="0.25">
      <c r="A11" s="273" t="s">
        <v>439</v>
      </c>
      <c r="B11" s="69"/>
    </row>
  </sheetData>
  <sheetProtection selectLockedCells="1" selectUnlockedCells="1"/>
  <phoneticPr fontId="33" type="noConversion"/>
  <hyperlinks>
    <hyperlink ref="E1" location="Índice!A1" display="ir a índice" xr:uid="{E873FEFE-1E2B-437C-8F7E-2670DDD62D01}"/>
  </hyperlinks>
  <pageMargins left="0.75" right="0.75" top="0.49027777777777776" bottom="1" header="0.51180555555555551" footer="0.51180555555555551"/>
  <pageSetup paperSize="9" firstPageNumber="0" orientation="landscape" horizontalDpi="300" verticalDpi="300" r:id="rId1"/>
  <headerFooter alignWithMargins="0"/>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51">
    <tabColor rgb="FFBF8B2E"/>
    <pageSetUpPr fitToPage="1"/>
  </sheetPr>
  <dimension ref="A1:T13"/>
  <sheetViews>
    <sheetView workbookViewId="0">
      <selection activeCell="M1" sqref="M1"/>
    </sheetView>
  </sheetViews>
  <sheetFormatPr baseColWidth="10" defaultColWidth="9.140625" defaultRowHeight="14.25" x14ac:dyDescent="0.25"/>
  <cols>
    <col min="1" max="1" width="32" style="2" customWidth="1"/>
    <col min="2" max="4" width="10.5703125" style="2" hidden="1" customWidth="1"/>
    <col min="5" max="5" width="12.85546875" style="2" customWidth="1"/>
    <col min="6" max="7" width="10.5703125" style="16" hidden="1" customWidth="1"/>
    <col min="8" max="8" width="10.5703125" style="14" hidden="1" customWidth="1"/>
    <col min="9" max="9" width="10.5703125" style="6" hidden="1" customWidth="1"/>
    <col min="10" max="11" width="0" style="6" hidden="1" customWidth="1"/>
    <col min="12" max="19" width="12.42578125" style="6" customWidth="1"/>
    <col min="20" max="16384" width="9.140625" style="6"/>
  </cols>
  <sheetData>
    <row r="1" spans="1:20" x14ac:dyDescent="0.25">
      <c r="A1" s="555" t="s">
        <v>1200</v>
      </c>
      <c r="B1" s="7"/>
      <c r="D1" s="18"/>
      <c r="E1" s="942" t="s">
        <v>1230</v>
      </c>
      <c r="F1" s="19"/>
      <c r="G1" s="19"/>
      <c r="H1" s="20"/>
      <c r="T1" s="942" t="s">
        <v>1230</v>
      </c>
    </row>
    <row r="2" spans="1:20" x14ac:dyDescent="0.25">
      <c r="A2" s="555" t="s">
        <v>440</v>
      </c>
      <c r="B2" s="8"/>
      <c r="C2" s="8"/>
      <c r="D2" s="8"/>
      <c r="E2" s="8"/>
      <c r="F2" s="70"/>
      <c r="G2" s="70"/>
      <c r="H2" s="70"/>
      <c r="I2" s="70"/>
      <c r="J2" s="70"/>
    </row>
    <row r="3" spans="1:20" ht="28.5" x14ac:dyDescent="0.25">
      <c r="A3" t="s">
        <v>1008</v>
      </c>
      <c r="B3" t="s">
        <v>1009</v>
      </c>
      <c r="C3" t="s">
        <v>1179</v>
      </c>
      <c r="D3" t="s">
        <v>1184</v>
      </c>
      <c r="E3" t="s">
        <v>1185</v>
      </c>
      <c r="F3" t="s">
        <v>1186</v>
      </c>
      <c r="G3" t="s">
        <v>1187</v>
      </c>
      <c r="H3" t="s">
        <v>1188</v>
      </c>
      <c r="I3" t="s">
        <v>1189</v>
      </c>
      <c r="J3" t="s">
        <v>1190</v>
      </c>
      <c r="K3" t="s">
        <v>1191</v>
      </c>
      <c r="L3" t="s">
        <v>1192</v>
      </c>
      <c r="M3" t="s">
        <v>1193</v>
      </c>
      <c r="N3" t="s">
        <v>1194</v>
      </c>
      <c r="O3" t="s">
        <v>1195</v>
      </c>
      <c r="P3" t="s">
        <v>1196</v>
      </c>
      <c r="Q3" t="s">
        <v>1197</v>
      </c>
      <c r="R3" t="s">
        <v>1198</v>
      </c>
      <c r="S3" t="s">
        <v>1199</v>
      </c>
    </row>
    <row r="4" spans="1:20" x14ac:dyDescent="0.25">
      <c r="A4"/>
      <c r="B4">
        <v>2005</v>
      </c>
      <c r="C4">
        <v>2006</v>
      </c>
      <c r="D4">
        <v>2007</v>
      </c>
      <c r="E4">
        <v>2008</v>
      </c>
      <c r="F4">
        <v>2009</v>
      </c>
      <c r="G4">
        <v>2010</v>
      </c>
      <c r="H4">
        <v>2011</v>
      </c>
      <c r="I4">
        <v>2012</v>
      </c>
      <c r="J4">
        <v>2013</v>
      </c>
      <c r="K4">
        <v>2014</v>
      </c>
      <c r="L4">
        <v>2015</v>
      </c>
      <c r="M4">
        <v>2016</v>
      </c>
      <c r="N4">
        <v>2017</v>
      </c>
      <c r="O4">
        <v>2018</v>
      </c>
      <c r="P4">
        <v>2019</v>
      </c>
      <c r="Q4">
        <v>2020</v>
      </c>
      <c r="R4">
        <v>2021</v>
      </c>
      <c r="S4">
        <v>2022</v>
      </c>
    </row>
    <row r="5" spans="1:20" ht="21" customHeight="1" x14ac:dyDescent="0.25">
      <c r="A5" t="s">
        <v>441</v>
      </c>
      <c r="B5">
        <v>109200</v>
      </c>
      <c r="C5">
        <v>123922</v>
      </c>
      <c r="D5">
        <v>112594</v>
      </c>
      <c r="E5">
        <v>116910</v>
      </c>
      <c r="F5">
        <v>103.057</v>
      </c>
      <c r="G5">
        <v>102.988</v>
      </c>
      <c r="H5">
        <v>150.369</v>
      </c>
      <c r="I5">
        <v>109.919</v>
      </c>
      <c r="J5">
        <v>127.4</v>
      </c>
      <c r="K5">
        <v>97.468000000000004</v>
      </c>
      <c r="L5">
        <v>213.255</v>
      </c>
      <c r="M5">
        <v>141.17599999999999</v>
      </c>
      <c r="N5">
        <v>117.434</v>
      </c>
      <c r="O5">
        <v>109.48699999999999</v>
      </c>
      <c r="P5">
        <v>148.499</v>
      </c>
      <c r="Q5">
        <v>140.971</v>
      </c>
      <c r="R5">
        <v>168.16165144693645</v>
      </c>
      <c r="S5">
        <v>161.47</v>
      </c>
    </row>
    <row r="6" spans="1:20" x14ac:dyDescent="0.25">
      <c r="A6" t="s">
        <v>442</v>
      </c>
      <c r="B6"/>
      <c r="C6"/>
      <c r="D6"/>
      <c r="E6"/>
      <c r="F6"/>
      <c r="G6"/>
      <c r="H6"/>
      <c r="I6">
        <v>8.1453640585505235E-2</v>
      </c>
      <c r="J6">
        <v>9.4570018186541954E-2</v>
      </c>
      <c r="K6">
        <v>7.3539386668779266E-2</v>
      </c>
      <c r="L6" s="60">
        <v>0.1618207576448556</v>
      </c>
      <c r="M6" s="60">
        <v>0.10788628442039092</v>
      </c>
      <c r="N6" s="60">
        <v>8.9729894937917859E-2</v>
      </c>
      <c r="O6" s="60">
        <v>8.3659094937985581E-2</v>
      </c>
      <c r="P6" s="60">
        <v>0.11255970062707925</v>
      </c>
      <c r="Q6" s="60">
        <v>0.10604178905980258</v>
      </c>
      <c r="R6" s="60">
        <v>0.12679378451672518</v>
      </c>
      <c r="S6" s="60">
        <v>0.1217433264345197</v>
      </c>
    </row>
    <row r="7" spans="1:20" x14ac:dyDescent="0.25">
      <c r="A7" s="3"/>
      <c r="B7" s="7"/>
      <c r="D7" s="18"/>
      <c r="E7" s="3"/>
      <c r="F7" s="31"/>
      <c r="G7" s="31"/>
    </row>
    <row r="8" spans="1:20" x14ac:dyDescent="0.25">
      <c r="A8" s="3"/>
      <c r="B8" s="7"/>
      <c r="D8" s="18"/>
      <c r="E8" s="3"/>
      <c r="F8" s="31"/>
      <c r="G8" s="31"/>
      <c r="M8" s="95"/>
      <c r="N8" s="95"/>
      <c r="O8" s="95"/>
      <c r="P8" s="95"/>
      <c r="Q8" s="95"/>
      <c r="R8" s="95"/>
      <c r="S8" s="95"/>
    </row>
    <row r="9" spans="1:20" x14ac:dyDescent="0.25">
      <c r="A9" s="3"/>
      <c r="B9" s="7"/>
      <c r="D9" s="18"/>
      <c r="E9" s="3"/>
      <c r="F9" s="31"/>
      <c r="G9" s="31"/>
      <c r="M9" s="95"/>
      <c r="N9" s="95"/>
      <c r="O9" s="95"/>
      <c r="P9" s="95"/>
      <c r="Q9" s="95"/>
      <c r="R9" s="95"/>
      <c r="S9" s="95"/>
    </row>
    <row r="10" spans="1:20" x14ac:dyDescent="0.25">
      <c r="A10" s="3"/>
      <c r="B10" s="7"/>
      <c r="D10" s="18"/>
      <c r="E10" s="3"/>
      <c r="F10" s="31"/>
      <c r="G10" s="31"/>
    </row>
    <row r="11" spans="1:20" x14ac:dyDescent="0.25">
      <c r="A11" s="3"/>
      <c r="B11" s="7"/>
      <c r="D11" s="18"/>
      <c r="E11" s="3"/>
      <c r="F11" s="31"/>
      <c r="G11" s="31"/>
    </row>
    <row r="12" spans="1:20" x14ac:dyDescent="0.25">
      <c r="A12" s="3"/>
      <c r="B12" s="7"/>
      <c r="D12" s="18"/>
      <c r="E12" s="21"/>
      <c r="F12" s="19"/>
      <c r="G12" s="19"/>
      <c r="H12" s="20"/>
      <c r="P12" s="94"/>
      <c r="Q12" s="95"/>
      <c r="R12" s="95"/>
    </row>
    <row r="13" spans="1:20" x14ac:dyDescent="0.25">
      <c r="A13" s="3"/>
      <c r="B13" s="7"/>
      <c r="D13" s="18"/>
      <c r="E13" s="3"/>
      <c r="F13" s="31"/>
      <c r="G13" s="17"/>
    </row>
  </sheetData>
  <sheetProtection selectLockedCells="1" selectUnlockedCells="1"/>
  <phoneticPr fontId="33" type="noConversion"/>
  <hyperlinks>
    <hyperlink ref="E1" location="Índice!A1" display="ir a índice" xr:uid="{FAAA4FC7-8D46-446A-81E0-B9B6B2260403}"/>
    <hyperlink ref="T1" location="Índice!A1" display="ir a índice" xr:uid="{A3B960C9-ABEA-47B1-AB33-A1D9FB99BDDA}"/>
  </hyperlinks>
  <pageMargins left="0.75" right="0.75" top="0.40972222222222221" bottom="1" header="0.51180555555555551" footer="0.51180555555555551"/>
  <pageSetup paperSize="9" scale="94" firstPageNumber="0" orientation="landscape" horizontalDpi="300" verticalDpi="300" r:id="rId1"/>
  <headerFooter alignWithMargins="0"/>
  <drawing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2">
    <tabColor rgb="FFBF8B2E"/>
  </sheetPr>
  <dimension ref="A1:Q8"/>
  <sheetViews>
    <sheetView workbookViewId="0">
      <selection activeCell="M1" sqref="M1"/>
    </sheetView>
  </sheetViews>
  <sheetFormatPr baseColWidth="10" defaultColWidth="9.140625" defaultRowHeight="14.25" x14ac:dyDescent="0.25"/>
  <cols>
    <col min="1" max="1" width="16.5703125" style="2" customWidth="1"/>
    <col min="2" max="2" width="23.7109375" style="2" customWidth="1"/>
    <col min="3" max="3" width="22.5703125" style="2" customWidth="1"/>
    <col min="4" max="4" width="2" style="16" customWidth="1"/>
    <col min="5" max="5" width="12.85546875" style="16" customWidth="1"/>
    <col min="6" max="6" width="2.42578125" style="14" customWidth="1"/>
    <col min="7" max="7" width="3.85546875" style="6" customWidth="1"/>
    <col min="8" max="8" width="3.42578125" style="6" customWidth="1"/>
    <col min="9" max="9" width="3.28515625" style="6" customWidth="1"/>
    <col min="10" max="10" width="3.42578125" style="6" customWidth="1"/>
    <col min="11" max="11" width="4" style="6" customWidth="1"/>
    <col min="12" max="16384" width="9.140625" style="6"/>
  </cols>
  <sheetData>
    <row r="1" spans="1:17" x14ac:dyDescent="0.25">
      <c r="A1" s="555" t="s">
        <v>1201</v>
      </c>
      <c r="B1" s="9"/>
      <c r="C1" s="6"/>
      <c r="D1" s="6"/>
      <c r="E1" s="942" t="s">
        <v>1230</v>
      </c>
    </row>
    <row r="2" spans="1:17" x14ac:dyDescent="0.25">
      <c r="A2" s="555" t="s">
        <v>445</v>
      </c>
      <c r="B2" s="7"/>
      <c r="C2" s="42"/>
      <c r="D2" s="17"/>
      <c r="F2" s="175"/>
      <c r="G2" s="95"/>
      <c r="H2" s="95"/>
      <c r="I2" s="95"/>
      <c r="J2" s="95"/>
      <c r="K2" s="95"/>
      <c r="L2" s="95"/>
      <c r="M2" s="95"/>
      <c r="N2" s="95"/>
      <c r="O2" s="95"/>
      <c r="P2" s="95"/>
      <c r="Q2" s="95"/>
    </row>
    <row r="3" spans="1:17" x14ac:dyDescent="0.25">
      <c r="A3" t="s">
        <v>236</v>
      </c>
      <c r="B3" t="s">
        <v>443</v>
      </c>
      <c r="C3" t="s">
        <v>444</v>
      </c>
      <c r="D3" s="7"/>
      <c r="E3" s="7"/>
      <c r="F3" s="176"/>
      <c r="G3" s="95"/>
      <c r="H3" s="95"/>
      <c r="I3" s="95"/>
      <c r="J3" s="95"/>
      <c r="K3" s="95"/>
      <c r="L3" s="95"/>
      <c r="M3" s="95"/>
      <c r="N3" s="95"/>
      <c r="O3" s="95"/>
      <c r="P3" s="95"/>
      <c r="Q3" s="95"/>
    </row>
    <row r="4" spans="1:17" x14ac:dyDescent="0.25">
      <c r="A4" t="s">
        <v>239</v>
      </c>
      <c r="B4">
        <v>130</v>
      </c>
      <c r="C4">
        <v>14</v>
      </c>
      <c r="E4" s="14"/>
    </row>
    <row r="5" spans="1:17" x14ac:dyDescent="0.25">
      <c r="A5" t="s">
        <v>240</v>
      </c>
      <c r="B5">
        <v>42</v>
      </c>
      <c r="C5">
        <v>0</v>
      </c>
      <c r="E5" s="14"/>
      <c r="F5" s="6"/>
    </row>
    <row r="6" spans="1:17" x14ac:dyDescent="0.25">
      <c r="A6" t="s">
        <v>56</v>
      </c>
      <c r="B6">
        <v>154</v>
      </c>
      <c r="C6">
        <v>15</v>
      </c>
      <c r="D6" s="17"/>
      <c r="E6" s="34"/>
      <c r="F6" s="6"/>
    </row>
    <row r="7" spans="1:17" x14ac:dyDescent="0.25">
      <c r="A7" t="s">
        <v>136</v>
      </c>
      <c r="B7">
        <f>SUM(B4:B6)</f>
        <v>326</v>
      </c>
      <c r="C7">
        <f>SUM(C4:C6)</f>
        <v>29</v>
      </c>
      <c r="D7" s="19"/>
      <c r="E7" s="20"/>
      <c r="F7" s="6"/>
    </row>
    <row r="8" spans="1:17" x14ac:dyDescent="0.25">
      <c r="A8" s="7"/>
    </row>
  </sheetData>
  <sheetProtection selectLockedCells="1" selectUnlockedCells="1"/>
  <phoneticPr fontId="33" type="noConversion"/>
  <hyperlinks>
    <hyperlink ref="E1" location="Índice!A1" display="ir a índice" xr:uid="{A8283A85-4E90-49C1-9AA8-76BF7FEA55CA}"/>
  </hyperlinks>
  <pageMargins left="0.75" right="0.2" top="0.55000000000000004" bottom="1" header="0.51180555555555551" footer="0.51180555555555551"/>
  <pageSetup paperSize="9" firstPageNumber="0" orientation="landscape" horizontalDpi="300" verticalDpi="300" r:id="rId1"/>
  <headerFooter alignWithMargins="0"/>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3">
    <tabColor rgb="FFBF8B2E"/>
    <pageSetUpPr fitToPage="1"/>
  </sheetPr>
  <dimension ref="A1:T24"/>
  <sheetViews>
    <sheetView workbookViewId="0">
      <selection activeCell="M1" sqref="M1"/>
    </sheetView>
  </sheetViews>
  <sheetFormatPr baseColWidth="10" defaultColWidth="9.140625" defaultRowHeight="14.25" x14ac:dyDescent="0.25"/>
  <cols>
    <col min="1" max="1" width="22.85546875" style="2" customWidth="1"/>
    <col min="2" max="4" width="7.7109375" style="2" hidden="1" customWidth="1"/>
    <col min="5" max="5" width="12.85546875" style="2" customWidth="1"/>
    <col min="6" max="7" width="7.7109375" style="16" bestFit="1" customWidth="1"/>
    <col min="8" max="8" width="7.7109375" style="14" bestFit="1" customWidth="1"/>
    <col min="9" max="11" width="7.7109375" style="6" bestFit="1" customWidth="1"/>
    <col min="12" max="19" width="7.7109375" style="6" customWidth="1"/>
    <col min="20" max="16384" width="9.140625" style="6"/>
  </cols>
  <sheetData>
    <row r="1" spans="1:20" x14ac:dyDescent="0.25">
      <c r="A1" s="555" t="s">
        <v>1202</v>
      </c>
      <c r="B1" s="9"/>
      <c r="C1" s="6"/>
      <c r="D1" s="6"/>
      <c r="E1" s="942" t="s">
        <v>1230</v>
      </c>
      <c r="F1" s="6"/>
      <c r="I1" s="11"/>
      <c r="T1" s="942" t="s">
        <v>1230</v>
      </c>
    </row>
    <row r="2" spans="1:20" x14ac:dyDescent="0.25">
      <c r="A2" s="555" t="s">
        <v>91</v>
      </c>
      <c r="B2" s="7"/>
      <c r="D2" s="18"/>
      <c r="F2" s="19"/>
      <c r="G2" s="19"/>
      <c r="H2" s="20"/>
      <c r="Q2" s="12"/>
    </row>
    <row r="3" spans="1:20" x14ac:dyDescent="0.25">
      <c r="A3" t="s">
        <v>276</v>
      </c>
      <c r="B3" t="s">
        <v>1098</v>
      </c>
      <c r="C3" t="s">
        <v>1099</v>
      </c>
      <c r="D3" t="s">
        <v>1100</v>
      </c>
      <c r="E3" t="s">
        <v>1101</v>
      </c>
      <c r="F3" t="s">
        <v>1102</v>
      </c>
      <c r="G3" t="s">
        <v>1103</v>
      </c>
      <c r="H3" t="s">
        <v>1104</v>
      </c>
      <c r="I3" t="s">
        <v>1105</v>
      </c>
      <c r="J3" t="s">
        <v>1106</v>
      </c>
      <c r="K3" t="s">
        <v>1107</v>
      </c>
      <c r="L3" t="s">
        <v>1108</v>
      </c>
      <c r="M3" t="s">
        <v>1109</v>
      </c>
      <c r="N3" t="s">
        <v>1110</v>
      </c>
      <c r="O3" t="s">
        <v>1111</v>
      </c>
      <c r="P3" t="s">
        <v>1112</v>
      </c>
      <c r="Q3" t="s">
        <v>1113</v>
      </c>
      <c r="R3" t="s">
        <v>1114</v>
      </c>
      <c r="S3" t="s">
        <v>1115</v>
      </c>
    </row>
    <row r="4" spans="1:20" ht="28.5" x14ac:dyDescent="0.25">
      <c r="A4" t="s">
        <v>446</v>
      </c>
      <c r="B4">
        <v>37050</v>
      </c>
      <c r="C4">
        <v>82590</v>
      </c>
      <c r="D4">
        <v>120520</v>
      </c>
      <c r="E4">
        <v>138720</v>
      </c>
      <c r="F4">
        <v>126.53</v>
      </c>
      <c r="G4">
        <v>144.61000000000001</v>
      </c>
      <c r="H4">
        <v>153.87</v>
      </c>
      <c r="I4">
        <v>163.71</v>
      </c>
      <c r="J4">
        <v>228.07</v>
      </c>
      <c r="K4">
        <v>270.62</v>
      </c>
      <c r="L4">
        <v>278.14</v>
      </c>
      <c r="M4">
        <v>290.49</v>
      </c>
      <c r="N4">
        <v>302.14</v>
      </c>
      <c r="O4">
        <v>310.49</v>
      </c>
      <c r="P4">
        <v>309.64599999999996</v>
      </c>
      <c r="Q4">
        <v>345.99</v>
      </c>
      <c r="R4">
        <v>351.15000000000003</v>
      </c>
      <c r="S4">
        <v>335.68</v>
      </c>
    </row>
    <row r="5" spans="1:20" x14ac:dyDescent="0.25">
      <c r="A5" s="3"/>
      <c r="B5" s="7"/>
      <c r="C5" s="18"/>
      <c r="E5" s="7"/>
      <c r="F5" s="19"/>
      <c r="G5" s="19"/>
      <c r="H5" s="20"/>
    </row>
    <row r="6" spans="1:20" x14ac:dyDescent="0.25">
      <c r="A6" s="3"/>
      <c r="B6" s="7"/>
      <c r="C6" s="18"/>
      <c r="E6" s="3"/>
      <c r="F6" s="31"/>
      <c r="G6" s="31"/>
    </row>
    <row r="7" spans="1:20" x14ac:dyDescent="0.25">
      <c r="A7" s="3"/>
      <c r="B7" s="7"/>
      <c r="C7" s="18"/>
      <c r="E7" s="3"/>
      <c r="F7" s="31"/>
      <c r="G7" s="31"/>
    </row>
    <row r="8" spans="1:20" x14ac:dyDescent="0.25">
      <c r="A8" s="3"/>
      <c r="B8" s="7"/>
      <c r="C8" s="18"/>
      <c r="D8" s="18"/>
      <c r="E8" s="7"/>
      <c r="F8" s="19"/>
      <c r="G8" s="19"/>
      <c r="H8" s="20"/>
    </row>
    <row r="9" spans="1:20" x14ac:dyDescent="0.25">
      <c r="A9" s="3"/>
      <c r="B9" s="7"/>
      <c r="C9" s="18"/>
      <c r="D9" s="18"/>
      <c r="E9" s="3"/>
      <c r="F9" s="31"/>
      <c r="G9" s="31"/>
    </row>
    <row r="10" spans="1:20" x14ac:dyDescent="0.25">
      <c r="A10" s="3"/>
      <c r="B10" s="7"/>
      <c r="C10" s="18"/>
      <c r="D10" s="18"/>
      <c r="E10" s="21"/>
      <c r="F10" s="19"/>
      <c r="G10" s="19"/>
      <c r="H10" s="20"/>
    </row>
    <row r="11" spans="1:20" x14ac:dyDescent="0.25">
      <c r="A11" s="3"/>
      <c r="B11" s="7"/>
      <c r="C11" s="18"/>
      <c r="D11" s="18"/>
      <c r="E11" s="21"/>
      <c r="F11" s="17"/>
      <c r="G11" s="17"/>
    </row>
    <row r="12" spans="1:20" x14ac:dyDescent="0.25">
      <c r="A12" s="3"/>
      <c r="B12" s="7"/>
      <c r="C12" s="18"/>
      <c r="D12" s="18"/>
      <c r="E12" s="21"/>
      <c r="F12" s="17"/>
      <c r="G12" s="17"/>
    </row>
    <row r="13" spans="1:20" x14ac:dyDescent="0.25">
      <c r="A13" s="3"/>
      <c r="B13" s="7"/>
      <c r="C13" s="18"/>
      <c r="E13" s="21"/>
      <c r="F13" s="19"/>
      <c r="G13" s="19"/>
      <c r="H13" s="20"/>
    </row>
    <row r="14" spans="1:20" x14ac:dyDescent="0.25">
      <c r="A14" s="3"/>
      <c r="B14" s="7"/>
      <c r="C14" s="18"/>
      <c r="D14" s="18"/>
      <c r="E14" s="21"/>
      <c r="F14" s="17"/>
      <c r="G14" s="17"/>
    </row>
    <row r="15" spans="1:20" x14ac:dyDescent="0.25">
      <c r="A15" s="3"/>
      <c r="B15" s="7"/>
      <c r="D15" s="18"/>
      <c r="E15" s="21"/>
      <c r="F15" s="19"/>
      <c r="G15" s="19"/>
      <c r="H15" s="20"/>
    </row>
    <row r="16" spans="1:20" x14ac:dyDescent="0.25">
      <c r="A16" s="3"/>
      <c r="B16" s="7"/>
      <c r="D16" s="18"/>
      <c r="E16" s="3"/>
      <c r="F16" s="31"/>
      <c r="G16" s="31"/>
    </row>
    <row r="17" spans="1:17" x14ac:dyDescent="0.25">
      <c r="A17" s="3"/>
      <c r="B17" s="7"/>
      <c r="D17" s="18"/>
      <c r="E17" s="21"/>
      <c r="F17" s="19"/>
      <c r="G17" s="19"/>
      <c r="H17" s="20"/>
    </row>
    <row r="18" spans="1:17" x14ac:dyDescent="0.25">
      <c r="A18" s="3"/>
      <c r="B18" s="7"/>
      <c r="D18" s="18"/>
      <c r="E18" s="3"/>
      <c r="F18" s="31"/>
      <c r="G18" s="17"/>
    </row>
    <row r="20" spans="1:17" x14ac:dyDescent="0.25">
      <c r="Q20" s="9"/>
    </row>
    <row r="24" spans="1:17" x14ac:dyDescent="0.25">
      <c r="O24" s="104"/>
    </row>
  </sheetData>
  <sheetProtection selectLockedCells="1" selectUnlockedCells="1"/>
  <phoneticPr fontId="33" type="noConversion"/>
  <hyperlinks>
    <hyperlink ref="E1" location="Índice!A1" display="ir a índice" xr:uid="{C234FDDD-B889-4096-B2D0-86610CD2CDAF}"/>
    <hyperlink ref="T1" location="Índice!A1" display="ir a índice" xr:uid="{9629DC14-8804-48C2-B528-5A746713961A}"/>
  </hyperlinks>
  <pageMargins left="0.75" right="0.75" top="0.59027777777777779" bottom="1" header="0.51180555555555551" footer="0.51180555555555551"/>
  <pageSetup paperSize="9" scale="90" firstPageNumber="0" orientation="landscape" horizontalDpi="300" verticalDpi="300"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BF8B2E"/>
  </sheetPr>
  <dimension ref="A1:G7"/>
  <sheetViews>
    <sheetView zoomScaleNormal="100" workbookViewId="0">
      <selection activeCell="M1" sqref="M1"/>
    </sheetView>
  </sheetViews>
  <sheetFormatPr baseColWidth="10" defaultColWidth="11.42578125" defaultRowHeight="16.5" x14ac:dyDescent="0.3"/>
  <cols>
    <col min="1" max="1" width="55.140625" style="607" customWidth="1"/>
    <col min="2" max="4" width="11.42578125" style="607"/>
    <col min="5" max="5" width="12.85546875" style="607" customWidth="1"/>
    <col min="6" max="252" width="11.42578125" style="607"/>
    <col min="253" max="253" width="27" style="607" customWidth="1"/>
    <col min="254" max="254" width="12.5703125" style="607" customWidth="1"/>
    <col min="255" max="261" width="11.42578125" style="607"/>
    <col min="262" max="262" width="18.140625" style="607" customWidth="1"/>
    <col min="263" max="508" width="11.42578125" style="607"/>
    <col min="509" max="509" width="27" style="607" customWidth="1"/>
    <col min="510" max="510" width="12.5703125" style="607" customWidth="1"/>
    <col min="511" max="517" width="11.42578125" style="607"/>
    <col min="518" max="518" width="18.140625" style="607" customWidth="1"/>
    <col min="519" max="764" width="11.42578125" style="607"/>
    <col min="765" max="765" width="27" style="607" customWidth="1"/>
    <col min="766" max="766" width="12.5703125" style="607" customWidth="1"/>
    <col min="767" max="773" width="11.42578125" style="607"/>
    <col min="774" max="774" width="18.140625" style="607" customWidth="1"/>
    <col min="775" max="1020" width="11.42578125" style="607"/>
    <col min="1021" max="1021" width="27" style="607" customWidth="1"/>
    <col min="1022" max="1022" width="12.5703125" style="607" customWidth="1"/>
    <col min="1023" max="1029" width="11.42578125" style="607"/>
    <col min="1030" max="1030" width="18.140625" style="607" customWidth="1"/>
    <col min="1031" max="1276" width="11.42578125" style="607"/>
    <col min="1277" max="1277" width="27" style="607" customWidth="1"/>
    <col min="1278" max="1278" width="12.5703125" style="607" customWidth="1"/>
    <col min="1279" max="1285" width="11.42578125" style="607"/>
    <col min="1286" max="1286" width="18.140625" style="607" customWidth="1"/>
    <col min="1287" max="1532" width="11.42578125" style="607"/>
    <col min="1533" max="1533" width="27" style="607" customWidth="1"/>
    <col min="1534" max="1534" width="12.5703125" style="607" customWidth="1"/>
    <col min="1535" max="1541" width="11.42578125" style="607"/>
    <col min="1542" max="1542" width="18.140625" style="607" customWidth="1"/>
    <col min="1543" max="1788" width="11.42578125" style="607"/>
    <col min="1789" max="1789" width="27" style="607" customWidth="1"/>
    <col min="1790" max="1790" width="12.5703125" style="607" customWidth="1"/>
    <col min="1791" max="1797" width="11.42578125" style="607"/>
    <col min="1798" max="1798" width="18.140625" style="607" customWidth="1"/>
    <col min="1799" max="2044" width="11.42578125" style="607"/>
    <col min="2045" max="2045" width="27" style="607" customWidth="1"/>
    <col min="2046" max="2046" width="12.5703125" style="607" customWidth="1"/>
    <col min="2047" max="2053" width="11.42578125" style="607"/>
    <col min="2054" max="2054" width="18.140625" style="607" customWidth="1"/>
    <col min="2055" max="2300" width="11.42578125" style="607"/>
    <col min="2301" max="2301" width="27" style="607" customWidth="1"/>
    <col min="2302" max="2302" width="12.5703125" style="607" customWidth="1"/>
    <col min="2303" max="2309" width="11.42578125" style="607"/>
    <col min="2310" max="2310" width="18.140625" style="607" customWidth="1"/>
    <col min="2311" max="2556" width="11.42578125" style="607"/>
    <col min="2557" max="2557" width="27" style="607" customWidth="1"/>
    <col min="2558" max="2558" width="12.5703125" style="607" customWidth="1"/>
    <col min="2559" max="2565" width="11.42578125" style="607"/>
    <col min="2566" max="2566" width="18.140625" style="607" customWidth="1"/>
    <col min="2567" max="2812" width="11.42578125" style="607"/>
    <col min="2813" max="2813" width="27" style="607" customWidth="1"/>
    <col min="2814" max="2814" width="12.5703125" style="607" customWidth="1"/>
    <col min="2815" max="2821" width="11.42578125" style="607"/>
    <col min="2822" max="2822" width="18.140625" style="607" customWidth="1"/>
    <col min="2823" max="3068" width="11.42578125" style="607"/>
    <col min="3069" max="3069" width="27" style="607" customWidth="1"/>
    <col min="3070" max="3070" width="12.5703125" style="607" customWidth="1"/>
    <col min="3071" max="3077" width="11.42578125" style="607"/>
    <col min="3078" max="3078" width="18.140625" style="607" customWidth="1"/>
    <col min="3079" max="3324" width="11.42578125" style="607"/>
    <col min="3325" max="3325" width="27" style="607" customWidth="1"/>
    <col min="3326" max="3326" width="12.5703125" style="607" customWidth="1"/>
    <col min="3327" max="3333" width="11.42578125" style="607"/>
    <col min="3334" max="3334" width="18.140625" style="607" customWidth="1"/>
    <col min="3335" max="3580" width="11.42578125" style="607"/>
    <col min="3581" max="3581" width="27" style="607" customWidth="1"/>
    <col min="3582" max="3582" width="12.5703125" style="607" customWidth="1"/>
    <col min="3583" max="3589" width="11.42578125" style="607"/>
    <col min="3590" max="3590" width="18.140625" style="607" customWidth="1"/>
    <col min="3591" max="3836" width="11.42578125" style="607"/>
    <col min="3837" max="3837" width="27" style="607" customWidth="1"/>
    <col min="3838" max="3838" width="12.5703125" style="607" customWidth="1"/>
    <col min="3839" max="3845" width="11.42578125" style="607"/>
    <col min="3846" max="3846" width="18.140625" style="607" customWidth="1"/>
    <col min="3847" max="4092" width="11.42578125" style="607"/>
    <col min="4093" max="4093" width="27" style="607" customWidth="1"/>
    <col min="4094" max="4094" width="12.5703125" style="607" customWidth="1"/>
    <col min="4095" max="4101" width="11.42578125" style="607"/>
    <col min="4102" max="4102" width="18.140625" style="607" customWidth="1"/>
    <col min="4103" max="4348" width="11.42578125" style="607"/>
    <col min="4349" max="4349" width="27" style="607" customWidth="1"/>
    <col min="4350" max="4350" width="12.5703125" style="607" customWidth="1"/>
    <col min="4351" max="4357" width="11.42578125" style="607"/>
    <col min="4358" max="4358" width="18.140625" style="607" customWidth="1"/>
    <col min="4359" max="4604" width="11.42578125" style="607"/>
    <col min="4605" max="4605" width="27" style="607" customWidth="1"/>
    <col min="4606" max="4606" width="12.5703125" style="607" customWidth="1"/>
    <col min="4607" max="4613" width="11.42578125" style="607"/>
    <col min="4614" max="4614" width="18.140625" style="607" customWidth="1"/>
    <col min="4615" max="4860" width="11.42578125" style="607"/>
    <col min="4861" max="4861" width="27" style="607" customWidth="1"/>
    <col min="4862" max="4862" width="12.5703125" style="607" customWidth="1"/>
    <col min="4863" max="4869" width="11.42578125" style="607"/>
    <col min="4870" max="4870" width="18.140625" style="607" customWidth="1"/>
    <col min="4871" max="5116" width="11.42578125" style="607"/>
    <col min="5117" max="5117" width="27" style="607" customWidth="1"/>
    <col min="5118" max="5118" width="12.5703125" style="607" customWidth="1"/>
    <col min="5119" max="5125" width="11.42578125" style="607"/>
    <col min="5126" max="5126" width="18.140625" style="607" customWidth="1"/>
    <col min="5127" max="5372" width="11.42578125" style="607"/>
    <col min="5373" max="5373" width="27" style="607" customWidth="1"/>
    <col min="5374" max="5374" width="12.5703125" style="607" customWidth="1"/>
    <col min="5375" max="5381" width="11.42578125" style="607"/>
    <col min="5382" max="5382" width="18.140625" style="607" customWidth="1"/>
    <col min="5383" max="5628" width="11.42578125" style="607"/>
    <col min="5629" max="5629" width="27" style="607" customWidth="1"/>
    <col min="5630" max="5630" width="12.5703125" style="607" customWidth="1"/>
    <col min="5631" max="5637" width="11.42578125" style="607"/>
    <col min="5638" max="5638" width="18.140625" style="607" customWidth="1"/>
    <col min="5639" max="5884" width="11.42578125" style="607"/>
    <col min="5885" max="5885" width="27" style="607" customWidth="1"/>
    <col min="5886" max="5886" width="12.5703125" style="607" customWidth="1"/>
    <col min="5887" max="5893" width="11.42578125" style="607"/>
    <col min="5894" max="5894" width="18.140625" style="607" customWidth="1"/>
    <col min="5895" max="6140" width="11.42578125" style="607"/>
    <col min="6141" max="6141" width="27" style="607" customWidth="1"/>
    <col min="6142" max="6142" width="12.5703125" style="607" customWidth="1"/>
    <col min="6143" max="6149" width="11.42578125" style="607"/>
    <col min="6150" max="6150" width="18.140625" style="607" customWidth="1"/>
    <col min="6151" max="6396" width="11.42578125" style="607"/>
    <col min="6397" max="6397" width="27" style="607" customWidth="1"/>
    <col min="6398" max="6398" width="12.5703125" style="607" customWidth="1"/>
    <col min="6399" max="6405" width="11.42578125" style="607"/>
    <col min="6406" max="6406" width="18.140625" style="607" customWidth="1"/>
    <col min="6407" max="6652" width="11.42578125" style="607"/>
    <col min="6653" max="6653" width="27" style="607" customWidth="1"/>
    <col min="6654" max="6654" width="12.5703125" style="607" customWidth="1"/>
    <col min="6655" max="6661" width="11.42578125" style="607"/>
    <col min="6662" max="6662" width="18.140625" style="607" customWidth="1"/>
    <col min="6663" max="6908" width="11.42578125" style="607"/>
    <col min="6909" max="6909" width="27" style="607" customWidth="1"/>
    <col min="6910" max="6910" width="12.5703125" style="607" customWidth="1"/>
    <col min="6911" max="6917" width="11.42578125" style="607"/>
    <col min="6918" max="6918" width="18.140625" style="607" customWidth="1"/>
    <col min="6919" max="7164" width="11.42578125" style="607"/>
    <col min="7165" max="7165" width="27" style="607" customWidth="1"/>
    <col min="7166" max="7166" width="12.5703125" style="607" customWidth="1"/>
    <col min="7167" max="7173" width="11.42578125" style="607"/>
    <col min="7174" max="7174" width="18.140625" style="607" customWidth="1"/>
    <col min="7175" max="7420" width="11.42578125" style="607"/>
    <col min="7421" max="7421" width="27" style="607" customWidth="1"/>
    <col min="7422" max="7422" width="12.5703125" style="607" customWidth="1"/>
    <col min="7423" max="7429" width="11.42578125" style="607"/>
    <col min="7430" max="7430" width="18.140625" style="607" customWidth="1"/>
    <col min="7431" max="7676" width="11.42578125" style="607"/>
    <col min="7677" max="7677" width="27" style="607" customWidth="1"/>
    <col min="7678" max="7678" width="12.5703125" style="607" customWidth="1"/>
    <col min="7679" max="7685" width="11.42578125" style="607"/>
    <col min="7686" max="7686" width="18.140625" style="607" customWidth="1"/>
    <col min="7687" max="7932" width="11.42578125" style="607"/>
    <col min="7933" max="7933" width="27" style="607" customWidth="1"/>
    <col min="7934" max="7934" width="12.5703125" style="607" customWidth="1"/>
    <col min="7935" max="7941" width="11.42578125" style="607"/>
    <col min="7942" max="7942" width="18.140625" style="607" customWidth="1"/>
    <col min="7943" max="8188" width="11.42578125" style="607"/>
    <col min="8189" max="8189" width="27" style="607" customWidth="1"/>
    <col min="8190" max="8190" width="12.5703125" style="607" customWidth="1"/>
    <col min="8191" max="8197" width="11.42578125" style="607"/>
    <col min="8198" max="8198" width="18.140625" style="607" customWidth="1"/>
    <col min="8199" max="8444" width="11.42578125" style="607"/>
    <col min="8445" max="8445" width="27" style="607" customWidth="1"/>
    <col min="8446" max="8446" width="12.5703125" style="607" customWidth="1"/>
    <col min="8447" max="8453" width="11.42578125" style="607"/>
    <col min="8454" max="8454" width="18.140625" style="607" customWidth="1"/>
    <col min="8455" max="8700" width="11.42578125" style="607"/>
    <col min="8701" max="8701" width="27" style="607" customWidth="1"/>
    <col min="8702" max="8702" width="12.5703125" style="607" customWidth="1"/>
    <col min="8703" max="8709" width="11.42578125" style="607"/>
    <col min="8710" max="8710" width="18.140625" style="607" customWidth="1"/>
    <col min="8711" max="8956" width="11.42578125" style="607"/>
    <col min="8957" max="8957" width="27" style="607" customWidth="1"/>
    <col min="8958" max="8958" width="12.5703125" style="607" customWidth="1"/>
    <col min="8959" max="8965" width="11.42578125" style="607"/>
    <col min="8966" max="8966" width="18.140625" style="607" customWidth="1"/>
    <col min="8967" max="9212" width="11.42578125" style="607"/>
    <col min="9213" max="9213" width="27" style="607" customWidth="1"/>
    <col min="9214" max="9214" width="12.5703125" style="607" customWidth="1"/>
    <col min="9215" max="9221" width="11.42578125" style="607"/>
    <col min="9222" max="9222" width="18.140625" style="607" customWidth="1"/>
    <col min="9223" max="9468" width="11.42578125" style="607"/>
    <col min="9469" max="9469" width="27" style="607" customWidth="1"/>
    <col min="9470" max="9470" width="12.5703125" style="607" customWidth="1"/>
    <col min="9471" max="9477" width="11.42578125" style="607"/>
    <col min="9478" max="9478" width="18.140625" style="607" customWidth="1"/>
    <col min="9479" max="9724" width="11.42578125" style="607"/>
    <col min="9725" max="9725" width="27" style="607" customWidth="1"/>
    <col min="9726" max="9726" width="12.5703125" style="607" customWidth="1"/>
    <col min="9727" max="9733" width="11.42578125" style="607"/>
    <col min="9734" max="9734" width="18.140625" style="607" customWidth="1"/>
    <col min="9735" max="9980" width="11.42578125" style="607"/>
    <col min="9981" max="9981" width="27" style="607" customWidth="1"/>
    <col min="9982" max="9982" width="12.5703125" style="607" customWidth="1"/>
    <col min="9983" max="9989" width="11.42578125" style="607"/>
    <col min="9990" max="9990" width="18.140625" style="607" customWidth="1"/>
    <col min="9991" max="10236" width="11.42578125" style="607"/>
    <col min="10237" max="10237" width="27" style="607" customWidth="1"/>
    <col min="10238" max="10238" width="12.5703125" style="607" customWidth="1"/>
    <col min="10239" max="10245" width="11.42578125" style="607"/>
    <col min="10246" max="10246" width="18.140625" style="607" customWidth="1"/>
    <col min="10247" max="10492" width="11.42578125" style="607"/>
    <col min="10493" max="10493" width="27" style="607" customWidth="1"/>
    <col min="10494" max="10494" width="12.5703125" style="607" customWidth="1"/>
    <col min="10495" max="10501" width="11.42578125" style="607"/>
    <col min="10502" max="10502" width="18.140625" style="607" customWidth="1"/>
    <col min="10503" max="10748" width="11.42578125" style="607"/>
    <col min="10749" max="10749" width="27" style="607" customWidth="1"/>
    <col min="10750" max="10750" width="12.5703125" style="607" customWidth="1"/>
    <col min="10751" max="10757" width="11.42578125" style="607"/>
    <col min="10758" max="10758" width="18.140625" style="607" customWidth="1"/>
    <col min="10759" max="11004" width="11.42578125" style="607"/>
    <col min="11005" max="11005" width="27" style="607" customWidth="1"/>
    <col min="11006" max="11006" width="12.5703125" style="607" customWidth="1"/>
    <col min="11007" max="11013" width="11.42578125" style="607"/>
    <col min="11014" max="11014" width="18.140625" style="607" customWidth="1"/>
    <col min="11015" max="11260" width="11.42578125" style="607"/>
    <col min="11261" max="11261" width="27" style="607" customWidth="1"/>
    <col min="11262" max="11262" width="12.5703125" style="607" customWidth="1"/>
    <col min="11263" max="11269" width="11.42578125" style="607"/>
    <col min="11270" max="11270" width="18.140625" style="607" customWidth="1"/>
    <col min="11271" max="11516" width="11.42578125" style="607"/>
    <col min="11517" max="11517" width="27" style="607" customWidth="1"/>
    <col min="11518" max="11518" width="12.5703125" style="607" customWidth="1"/>
    <col min="11519" max="11525" width="11.42578125" style="607"/>
    <col min="11526" max="11526" width="18.140625" style="607" customWidth="1"/>
    <col min="11527" max="11772" width="11.42578125" style="607"/>
    <col min="11773" max="11773" width="27" style="607" customWidth="1"/>
    <col min="11774" max="11774" width="12.5703125" style="607" customWidth="1"/>
    <col min="11775" max="11781" width="11.42578125" style="607"/>
    <col min="11782" max="11782" width="18.140625" style="607" customWidth="1"/>
    <col min="11783" max="12028" width="11.42578125" style="607"/>
    <col min="12029" max="12029" width="27" style="607" customWidth="1"/>
    <col min="12030" max="12030" width="12.5703125" style="607" customWidth="1"/>
    <col min="12031" max="12037" width="11.42578125" style="607"/>
    <col min="12038" max="12038" width="18.140625" style="607" customWidth="1"/>
    <col min="12039" max="12284" width="11.42578125" style="607"/>
    <col min="12285" max="12285" width="27" style="607" customWidth="1"/>
    <col min="12286" max="12286" width="12.5703125" style="607" customWidth="1"/>
    <col min="12287" max="12293" width="11.42578125" style="607"/>
    <col min="12294" max="12294" width="18.140625" style="607" customWidth="1"/>
    <col min="12295" max="12540" width="11.42578125" style="607"/>
    <col min="12541" max="12541" width="27" style="607" customWidth="1"/>
    <col min="12542" max="12542" width="12.5703125" style="607" customWidth="1"/>
    <col min="12543" max="12549" width="11.42578125" style="607"/>
    <col min="12550" max="12550" width="18.140625" style="607" customWidth="1"/>
    <col min="12551" max="12796" width="11.42578125" style="607"/>
    <col min="12797" max="12797" width="27" style="607" customWidth="1"/>
    <col min="12798" max="12798" width="12.5703125" style="607" customWidth="1"/>
    <col min="12799" max="12805" width="11.42578125" style="607"/>
    <col min="12806" max="12806" width="18.140625" style="607" customWidth="1"/>
    <col min="12807" max="13052" width="11.42578125" style="607"/>
    <col min="13053" max="13053" width="27" style="607" customWidth="1"/>
    <col min="13054" max="13054" width="12.5703125" style="607" customWidth="1"/>
    <col min="13055" max="13061" width="11.42578125" style="607"/>
    <col min="13062" max="13062" width="18.140625" style="607" customWidth="1"/>
    <col min="13063" max="13308" width="11.42578125" style="607"/>
    <col min="13309" max="13309" width="27" style="607" customWidth="1"/>
    <col min="13310" max="13310" width="12.5703125" style="607" customWidth="1"/>
    <col min="13311" max="13317" width="11.42578125" style="607"/>
    <col min="13318" max="13318" width="18.140625" style="607" customWidth="1"/>
    <col min="13319" max="13564" width="11.42578125" style="607"/>
    <col min="13565" max="13565" width="27" style="607" customWidth="1"/>
    <col min="13566" max="13566" width="12.5703125" style="607" customWidth="1"/>
    <col min="13567" max="13573" width="11.42578125" style="607"/>
    <col min="13574" max="13574" width="18.140625" style="607" customWidth="1"/>
    <col min="13575" max="13820" width="11.42578125" style="607"/>
    <col min="13821" max="13821" width="27" style="607" customWidth="1"/>
    <col min="13822" max="13822" width="12.5703125" style="607" customWidth="1"/>
    <col min="13823" max="13829" width="11.42578125" style="607"/>
    <col min="13830" max="13830" width="18.140625" style="607" customWidth="1"/>
    <col min="13831" max="14076" width="11.42578125" style="607"/>
    <col min="14077" max="14077" width="27" style="607" customWidth="1"/>
    <col min="14078" max="14078" width="12.5703125" style="607" customWidth="1"/>
    <col min="14079" max="14085" width="11.42578125" style="607"/>
    <col min="14086" max="14086" width="18.140625" style="607" customWidth="1"/>
    <col min="14087" max="14332" width="11.42578125" style="607"/>
    <col min="14333" max="14333" width="27" style="607" customWidth="1"/>
    <col min="14334" max="14334" width="12.5703125" style="607" customWidth="1"/>
    <col min="14335" max="14341" width="11.42578125" style="607"/>
    <col min="14342" max="14342" width="18.140625" style="607" customWidth="1"/>
    <col min="14343" max="14588" width="11.42578125" style="607"/>
    <col min="14589" max="14589" width="27" style="607" customWidth="1"/>
    <col min="14590" max="14590" width="12.5703125" style="607" customWidth="1"/>
    <col min="14591" max="14597" width="11.42578125" style="607"/>
    <col min="14598" max="14598" width="18.140625" style="607" customWidth="1"/>
    <col min="14599" max="14844" width="11.42578125" style="607"/>
    <col min="14845" max="14845" width="27" style="607" customWidth="1"/>
    <col min="14846" max="14846" width="12.5703125" style="607" customWidth="1"/>
    <col min="14847" max="14853" width="11.42578125" style="607"/>
    <col min="14854" max="14854" width="18.140625" style="607" customWidth="1"/>
    <col min="14855" max="15100" width="11.42578125" style="607"/>
    <col min="15101" max="15101" width="27" style="607" customWidth="1"/>
    <col min="15102" max="15102" width="12.5703125" style="607" customWidth="1"/>
    <col min="15103" max="15109" width="11.42578125" style="607"/>
    <col min="15110" max="15110" width="18.140625" style="607" customWidth="1"/>
    <col min="15111" max="15356" width="11.42578125" style="607"/>
    <col min="15357" max="15357" width="27" style="607" customWidth="1"/>
    <col min="15358" max="15358" width="12.5703125" style="607" customWidth="1"/>
    <col min="15359" max="15365" width="11.42578125" style="607"/>
    <col min="15366" max="15366" width="18.140625" style="607" customWidth="1"/>
    <col min="15367" max="15612" width="11.42578125" style="607"/>
    <col min="15613" max="15613" width="27" style="607" customWidth="1"/>
    <col min="15614" max="15614" width="12.5703125" style="607" customWidth="1"/>
    <col min="15615" max="15621" width="11.42578125" style="607"/>
    <col min="15622" max="15622" width="18.140625" style="607" customWidth="1"/>
    <col min="15623" max="15868" width="11.42578125" style="607"/>
    <col min="15869" max="15869" width="27" style="607" customWidth="1"/>
    <col min="15870" max="15870" width="12.5703125" style="607" customWidth="1"/>
    <col min="15871" max="15877" width="11.42578125" style="607"/>
    <col min="15878" max="15878" width="18.140625" style="607" customWidth="1"/>
    <col min="15879" max="16124" width="11.42578125" style="607"/>
    <col min="16125" max="16125" width="27" style="607" customWidth="1"/>
    <col min="16126" max="16126" width="12.5703125" style="607" customWidth="1"/>
    <col min="16127" max="16133" width="11.42578125" style="607"/>
    <col min="16134" max="16134" width="18.140625" style="607" customWidth="1"/>
    <col min="16135" max="16384" width="11.42578125" style="607"/>
  </cols>
  <sheetData>
    <row r="1" spans="1:7" x14ac:dyDescent="0.3">
      <c r="A1" s="555" t="s">
        <v>1055</v>
      </c>
      <c r="B1" s="605"/>
      <c r="C1" s="605"/>
      <c r="D1" s="605"/>
      <c r="E1" s="942" t="s">
        <v>1230</v>
      </c>
      <c r="F1" s="605"/>
      <c r="G1" s="606"/>
    </row>
    <row r="2" spans="1:7" x14ac:dyDescent="0.3">
      <c r="A2" s="555" t="s">
        <v>1056</v>
      </c>
      <c r="B2" s="605"/>
      <c r="C2" s="605"/>
      <c r="D2" s="605"/>
      <c r="E2" s="605"/>
      <c r="F2" s="605"/>
      <c r="G2" s="606"/>
    </row>
    <row r="3" spans="1:7" x14ac:dyDescent="0.3">
      <c r="A3" s="608" t="s">
        <v>1008</v>
      </c>
      <c r="B3" s="608" t="s">
        <v>1049</v>
      </c>
      <c r="C3" s="608" t="s">
        <v>1050</v>
      </c>
      <c r="D3" s="608" t="s">
        <v>1051</v>
      </c>
      <c r="E3" s="608" t="s">
        <v>1052</v>
      </c>
      <c r="F3" s="608" t="s">
        <v>1053</v>
      </c>
      <c r="G3" s="606"/>
    </row>
    <row r="4" spans="1:7" x14ac:dyDescent="0.3">
      <c r="A4" s="608" t="s">
        <v>39</v>
      </c>
      <c r="B4" s="608">
        <v>4.01</v>
      </c>
      <c r="C4" s="608">
        <v>3.97</v>
      </c>
      <c r="D4" s="608">
        <v>4.04</v>
      </c>
      <c r="E4" s="608">
        <v>3.97</v>
      </c>
      <c r="F4" s="608">
        <v>3.81</v>
      </c>
      <c r="G4" s="609"/>
    </row>
    <row r="5" spans="1:7" x14ac:dyDescent="0.3">
      <c r="A5" s="608" t="s">
        <v>40</v>
      </c>
      <c r="B5" s="608">
        <v>16.239999999999998</v>
      </c>
      <c r="C5" s="608">
        <v>16.600000000000001</v>
      </c>
      <c r="D5" s="608">
        <v>29.25</v>
      </c>
      <c r="E5" s="608">
        <v>30.56</v>
      </c>
      <c r="F5" s="608">
        <v>27.05</v>
      </c>
      <c r="G5" s="609"/>
    </row>
    <row r="6" spans="1:7" x14ac:dyDescent="0.3">
      <c r="A6" s="608" t="s">
        <v>41</v>
      </c>
      <c r="B6" s="608" t="s">
        <v>42</v>
      </c>
      <c r="C6" s="608" t="s">
        <v>42</v>
      </c>
      <c r="D6" s="608">
        <v>52.9</v>
      </c>
      <c r="E6" s="608">
        <v>52.3</v>
      </c>
      <c r="F6" s="608">
        <v>52.1</v>
      </c>
      <c r="G6" s="609"/>
    </row>
    <row r="7" spans="1:7" ht="49.5" x14ac:dyDescent="0.3">
      <c r="A7" s="608" t="s">
        <v>43</v>
      </c>
      <c r="B7" s="608">
        <f>11+79+6</f>
        <v>96</v>
      </c>
      <c r="C7" s="608">
        <f>81+11+6</f>
        <v>98</v>
      </c>
      <c r="D7" s="608">
        <f>88+6</f>
        <v>94</v>
      </c>
      <c r="E7" s="608">
        <v>98</v>
      </c>
      <c r="F7" s="608">
        <v>100</v>
      </c>
      <c r="G7" s="609"/>
    </row>
  </sheetData>
  <hyperlinks>
    <hyperlink ref="E1" location="Índice!A1" display="ir a índice" xr:uid="{E8C91DA2-11F1-4553-AD86-1022EBA547D2}"/>
  </hyperlinks>
  <pageMargins left="0.7" right="0.7" top="0.75" bottom="0.75" header="0.3" footer="0.3"/>
  <pageSetup paperSize="9" orientation="portrait" verticalDpi="0" r:id="rId1"/>
  <drawing r:id="rId2"/>
  <tableParts count="1">
    <tablePart r:id="rId3"/>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4">
    <tabColor rgb="FFBF8B2E"/>
  </sheetPr>
  <dimension ref="A1:L7"/>
  <sheetViews>
    <sheetView workbookViewId="0">
      <selection activeCell="M1" sqref="M1"/>
    </sheetView>
  </sheetViews>
  <sheetFormatPr baseColWidth="10" defaultColWidth="9.140625" defaultRowHeight="14.25" x14ac:dyDescent="0.25"/>
  <cols>
    <col min="1" max="1" width="13.7109375" style="2" customWidth="1"/>
    <col min="2" max="2" width="39.140625" style="2" customWidth="1"/>
    <col min="3" max="3" width="20.5703125" style="2" customWidth="1"/>
    <col min="4" max="4" width="13" style="2" customWidth="1"/>
    <col min="5" max="5" width="12.85546875" style="2" customWidth="1"/>
    <col min="6" max="6" width="10.5703125" style="16" customWidth="1"/>
    <col min="7" max="7" width="7.140625" style="16" customWidth="1"/>
    <col min="8" max="8" width="4" style="14" customWidth="1"/>
    <col min="9" max="9" width="1.7109375" style="6" customWidth="1"/>
    <col min="10" max="10" width="0.7109375" style="6" customWidth="1"/>
    <col min="11" max="11" width="1.7109375" style="6" customWidth="1"/>
    <col min="12" max="16384" width="9.140625" style="6"/>
  </cols>
  <sheetData>
    <row r="1" spans="1:12" x14ac:dyDescent="0.25">
      <c r="A1" s="555" t="s">
        <v>1203</v>
      </c>
      <c r="B1" s="13"/>
      <c r="C1" s="6"/>
      <c r="D1" s="6"/>
      <c r="E1" s="942" t="s">
        <v>1230</v>
      </c>
      <c r="F1" s="6"/>
    </row>
    <row r="2" spans="1:12" x14ac:dyDescent="0.25">
      <c r="A2" s="555" t="s">
        <v>449</v>
      </c>
    </row>
    <row r="3" spans="1:12" s="33" customFormat="1" x14ac:dyDescent="0.25">
      <c r="A3" t="s">
        <v>236</v>
      </c>
      <c r="B3" t="s">
        <v>447</v>
      </c>
      <c r="C3" t="s">
        <v>448</v>
      </c>
      <c r="E3" s="182"/>
      <c r="F3" s="178"/>
      <c r="G3" s="178"/>
      <c r="H3" s="178"/>
      <c r="I3" s="178"/>
      <c r="J3" s="178"/>
      <c r="K3" s="178"/>
      <c r="L3" s="178"/>
    </row>
    <row r="4" spans="1:12" x14ac:dyDescent="0.25">
      <c r="A4" t="s">
        <v>239</v>
      </c>
      <c r="B4">
        <v>270</v>
      </c>
      <c r="C4">
        <v>2751.0659999999998</v>
      </c>
      <c r="E4" s="17"/>
      <c r="G4" s="14"/>
      <c r="H4" s="6"/>
    </row>
    <row r="5" spans="1:12" x14ac:dyDescent="0.25">
      <c r="A5" t="s">
        <v>240</v>
      </c>
      <c r="B5">
        <v>194</v>
      </c>
      <c r="C5">
        <v>1668.3489999999999</v>
      </c>
      <c r="E5" s="17"/>
      <c r="F5" s="17"/>
      <c r="G5" s="34"/>
      <c r="H5" s="6"/>
    </row>
    <row r="6" spans="1:12" x14ac:dyDescent="0.25">
      <c r="A6" t="s">
        <v>56</v>
      </c>
      <c r="B6">
        <v>656</v>
      </c>
      <c r="C6">
        <v>8210.4979999999996</v>
      </c>
      <c r="E6" s="19"/>
      <c r="F6" s="19"/>
      <c r="G6" s="20"/>
      <c r="H6" s="6"/>
    </row>
    <row r="7" spans="1:12" x14ac:dyDescent="0.25">
      <c r="A7" t="s">
        <v>89</v>
      </c>
      <c r="B7">
        <f>SUM(B4:B6)</f>
        <v>1120</v>
      </c>
      <c r="C7">
        <f>SUM(C4:C6)</f>
        <v>12629.913</v>
      </c>
      <c r="E7" s="31"/>
      <c r="F7" s="31"/>
      <c r="G7" s="14"/>
      <c r="H7" s="6"/>
    </row>
  </sheetData>
  <sheetProtection selectLockedCells="1" selectUnlockedCells="1"/>
  <phoneticPr fontId="33" type="noConversion"/>
  <hyperlinks>
    <hyperlink ref="E1" location="Índice!A1" display="ir a índice" xr:uid="{69533DEE-5399-4F16-AE35-28EA1B7996C2}"/>
  </hyperlinks>
  <pageMargins left="0.75" right="0.75" top="0.4201388888888889" bottom="1" header="0.51180555555555551" footer="0.51180555555555551"/>
  <pageSetup paperSize="9" firstPageNumber="0" orientation="portrait" horizontalDpi="300" verticalDpi="300" r:id="rId1"/>
  <headerFooter alignWithMargins="0"/>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5">
    <tabColor rgb="FFBF8B2E"/>
    <pageSetUpPr fitToPage="1"/>
  </sheetPr>
  <dimension ref="A1:T6"/>
  <sheetViews>
    <sheetView workbookViewId="0">
      <selection activeCell="M1" sqref="M1"/>
    </sheetView>
  </sheetViews>
  <sheetFormatPr baseColWidth="10" defaultColWidth="9.140625" defaultRowHeight="14.25" x14ac:dyDescent="0.25"/>
  <cols>
    <col min="1" max="1" width="20.42578125" style="2" customWidth="1"/>
    <col min="2" max="2" width="9.85546875" style="2" hidden="1" customWidth="1"/>
    <col min="3" max="3" width="11" style="2" hidden="1" customWidth="1"/>
    <col min="4" max="4" width="10.7109375" style="2" hidden="1" customWidth="1"/>
    <col min="5" max="5" width="12.85546875" style="2" customWidth="1"/>
    <col min="6" max="6" width="11.85546875" style="16" hidden="1" customWidth="1"/>
    <col min="7" max="7" width="10" style="16" hidden="1" customWidth="1"/>
    <col min="8" max="8" width="11.42578125" style="14" hidden="1" customWidth="1"/>
    <col min="9" max="10" width="12.140625" style="6" hidden="1" customWidth="1"/>
    <col min="11" max="11" width="11.140625" style="6" customWidth="1"/>
    <col min="12" max="16384" width="9.140625" style="6"/>
  </cols>
  <sheetData>
    <row r="1" spans="1:20" x14ac:dyDescent="0.25">
      <c r="A1" s="555" t="s">
        <v>1204</v>
      </c>
      <c r="B1" s="36"/>
      <c r="C1" s="36"/>
      <c r="D1" s="6"/>
      <c r="E1" s="942" t="s">
        <v>1230</v>
      </c>
      <c r="F1" s="6"/>
      <c r="G1" s="6"/>
      <c r="H1" s="6"/>
      <c r="T1" s="942" t="s">
        <v>1230</v>
      </c>
    </row>
    <row r="2" spans="1:20" x14ac:dyDescent="0.25">
      <c r="A2" s="555" t="s">
        <v>451</v>
      </c>
    </row>
    <row r="3" spans="1:20" x14ac:dyDescent="0.25">
      <c r="A3" t="s">
        <v>1008</v>
      </c>
      <c r="B3" t="s">
        <v>1102</v>
      </c>
      <c r="C3" t="s">
        <v>1103</v>
      </c>
      <c r="D3" t="s">
        <v>1104</v>
      </c>
      <c r="E3" t="s">
        <v>1105</v>
      </c>
      <c r="F3" t="s">
        <v>1106</v>
      </c>
      <c r="G3" t="s">
        <v>1107</v>
      </c>
      <c r="H3" t="s">
        <v>1108</v>
      </c>
      <c r="I3" t="s">
        <v>1109</v>
      </c>
      <c r="J3" t="s">
        <v>1110</v>
      </c>
      <c r="K3" t="s">
        <v>1111</v>
      </c>
      <c r="L3" t="s">
        <v>1112</v>
      </c>
      <c r="M3" t="s">
        <v>1113</v>
      </c>
      <c r="N3" t="s">
        <v>1114</v>
      </c>
      <c r="O3" t="s">
        <v>1115</v>
      </c>
    </row>
    <row r="4" spans="1:20" ht="28.5" x14ac:dyDescent="0.25">
      <c r="A4" t="s">
        <v>450</v>
      </c>
      <c r="B4">
        <v>9947.2530000000006</v>
      </c>
      <c r="C4">
        <v>10242.374</v>
      </c>
      <c r="D4">
        <v>9896.84</v>
      </c>
      <c r="E4">
        <v>9018.85</v>
      </c>
      <c r="F4">
        <v>8549</v>
      </c>
      <c r="G4">
        <v>9557.7430000000004</v>
      </c>
      <c r="H4">
        <v>9995.1139999999996</v>
      </c>
      <c r="I4">
        <v>10264</v>
      </c>
      <c r="J4">
        <v>10379.525</v>
      </c>
      <c r="K4">
        <v>10906.77</v>
      </c>
      <c r="L4">
        <v>11595.903</v>
      </c>
      <c r="M4">
        <v>10259.469999999999</v>
      </c>
      <c r="N4">
        <v>12918.34</v>
      </c>
      <c r="O4">
        <f>'Tabla 1.5-30'!C7</f>
        <v>12629.913</v>
      </c>
    </row>
    <row r="5" spans="1:20" x14ac:dyDescent="0.25">
      <c r="C5" s="71"/>
      <c r="D5" s="71"/>
      <c r="E5" s="71"/>
      <c r="F5" s="71"/>
      <c r="G5" s="71"/>
      <c r="H5" s="71"/>
      <c r="I5" s="71"/>
      <c r="J5" s="71"/>
      <c r="K5" s="71"/>
      <c r="L5" s="71"/>
      <c r="M5" s="71"/>
      <c r="N5" s="71"/>
    </row>
    <row r="6" spans="1:20" x14ac:dyDescent="0.25">
      <c r="A6" s="22"/>
    </row>
  </sheetData>
  <sheetProtection selectLockedCells="1" selectUnlockedCells="1"/>
  <phoneticPr fontId="33" type="noConversion"/>
  <hyperlinks>
    <hyperlink ref="E1" location="Índice!A1" display="ir a índice" xr:uid="{07CD6A06-B915-4B52-AD93-1B03897F13CC}"/>
    <hyperlink ref="T1" location="Índice!A1" display="ir a índice" xr:uid="{758AF8FB-A647-4EC2-9134-F4D7E0A699FD}"/>
  </hyperlinks>
  <pageMargins left="0.75" right="0.75" top="0.4201388888888889" bottom="1" header="0.51180555555555551" footer="0.51180555555555551"/>
  <pageSetup paperSize="9" scale="91" firstPageNumber="0" orientation="landscape" horizontalDpi="300" verticalDpi="300" r:id="rId1"/>
  <headerFooter alignWithMargins="0"/>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6">
    <tabColor rgb="FFBF8B2E"/>
    <pageSetUpPr fitToPage="1"/>
  </sheetPr>
  <dimension ref="A1:AA21"/>
  <sheetViews>
    <sheetView workbookViewId="0">
      <selection activeCell="M1" sqref="M1"/>
    </sheetView>
  </sheetViews>
  <sheetFormatPr baseColWidth="10" defaultColWidth="11.42578125" defaultRowHeight="14.25" x14ac:dyDescent="0.25"/>
  <cols>
    <col min="1" max="1" width="11.42578125" style="6" customWidth="1"/>
    <col min="2" max="2" width="16.5703125" style="6" customWidth="1"/>
    <col min="3" max="4" width="11.42578125" style="6"/>
    <col min="5" max="5" width="12.85546875" style="6" customWidth="1"/>
    <col min="6" max="16384" width="11.42578125" style="6"/>
  </cols>
  <sheetData>
    <row r="1" spans="1:27" x14ac:dyDescent="0.25">
      <c r="A1" s="555" t="s">
        <v>1205</v>
      </c>
      <c r="C1" s="755"/>
      <c r="D1" s="755"/>
      <c r="E1" s="942" t="s">
        <v>1230</v>
      </c>
      <c r="F1" s="755"/>
    </row>
    <row r="2" spans="1:27" x14ac:dyDescent="0.25">
      <c r="A2" s="555" t="s">
        <v>91</v>
      </c>
      <c r="B2" s="7"/>
      <c r="C2" s="755"/>
      <c r="D2" s="755"/>
      <c r="E2" s="755"/>
      <c r="F2" s="755"/>
    </row>
    <row r="3" spans="1:27" x14ac:dyDescent="0.25">
      <c r="A3" t="s">
        <v>452</v>
      </c>
      <c r="B3" t="s">
        <v>453</v>
      </c>
      <c r="C3" s="755"/>
      <c r="D3" s="755"/>
      <c r="E3" s="755"/>
      <c r="F3" s="755"/>
    </row>
    <row r="4" spans="1:27" x14ac:dyDescent="0.25">
      <c r="A4">
        <v>2005</v>
      </c>
      <c r="B4">
        <v>22</v>
      </c>
      <c r="C4" s="755"/>
      <c r="D4" s="755"/>
      <c r="E4" s="755"/>
      <c r="F4" s="755"/>
    </row>
    <row r="5" spans="1:27" x14ac:dyDescent="0.25">
      <c r="A5">
        <v>2006</v>
      </c>
      <c r="B5">
        <v>29</v>
      </c>
      <c r="C5" s="755"/>
      <c r="D5" s="755"/>
      <c r="E5" s="755"/>
      <c r="F5" s="755"/>
    </row>
    <row r="6" spans="1:27" x14ac:dyDescent="0.25">
      <c r="A6">
        <v>2007</v>
      </c>
      <c r="B6">
        <v>31</v>
      </c>
      <c r="C6" s="755"/>
      <c r="D6" s="755"/>
      <c r="E6" s="755"/>
      <c r="F6" s="755"/>
    </row>
    <row r="7" spans="1:27" x14ac:dyDescent="0.25">
      <c r="A7">
        <v>2008</v>
      </c>
      <c r="B7">
        <v>32</v>
      </c>
      <c r="C7" s="755"/>
      <c r="D7" s="755"/>
      <c r="E7" s="755"/>
      <c r="F7" s="755"/>
    </row>
    <row r="8" spans="1:27" x14ac:dyDescent="0.25">
      <c r="A8">
        <v>2009</v>
      </c>
      <c r="B8">
        <v>33</v>
      </c>
      <c r="C8" s="755"/>
      <c r="D8" s="755"/>
      <c r="E8" s="755"/>
      <c r="F8" s="755"/>
    </row>
    <row r="9" spans="1:27" x14ac:dyDescent="0.25">
      <c r="A9">
        <v>2010</v>
      </c>
      <c r="B9">
        <v>33</v>
      </c>
      <c r="C9" s="755"/>
      <c r="D9" s="755"/>
      <c r="E9" s="755"/>
      <c r="F9" s="755"/>
    </row>
    <row r="10" spans="1:27" x14ac:dyDescent="0.25">
      <c r="A10">
        <v>2011</v>
      </c>
      <c r="B10">
        <v>34</v>
      </c>
      <c r="C10" s="755"/>
      <c r="D10" s="755"/>
      <c r="E10" s="755"/>
      <c r="F10" s="755"/>
    </row>
    <row r="11" spans="1:27" x14ac:dyDescent="0.25">
      <c r="A11">
        <v>2012</v>
      </c>
      <c r="B11">
        <v>32</v>
      </c>
      <c r="C11" s="755"/>
      <c r="D11" s="755"/>
      <c r="E11" s="755"/>
      <c r="F11" s="755"/>
      <c r="I11" s="7"/>
      <c r="J11" s="7"/>
      <c r="N11" s="7"/>
      <c r="O11" s="7"/>
      <c r="S11" s="7"/>
      <c r="T11" s="7"/>
      <c r="X11" s="7"/>
      <c r="Y11" s="7"/>
    </row>
    <row r="12" spans="1:27" x14ac:dyDescent="0.25">
      <c r="A12">
        <v>2013</v>
      </c>
      <c r="B12">
        <v>32</v>
      </c>
      <c r="C12" s="755"/>
      <c r="D12" s="755"/>
      <c r="E12" s="755"/>
      <c r="F12" s="755"/>
      <c r="I12" s="16"/>
      <c r="J12" s="14"/>
      <c r="N12" s="16"/>
      <c r="O12" s="14"/>
      <c r="S12" s="16"/>
      <c r="T12" s="14"/>
      <c r="X12" s="16"/>
      <c r="Y12" s="14"/>
    </row>
    <row r="13" spans="1:27" x14ac:dyDescent="0.25">
      <c r="A13">
        <v>2014</v>
      </c>
      <c r="B13">
        <v>34</v>
      </c>
      <c r="C13" s="755"/>
      <c r="D13" s="755"/>
      <c r="E13" s="755"/>
      <c r="F13" s="755"/>
    </row>
    <row r="14" spans="1:27" customFormat="1" x14ac:dyDescent="0.25">
      <c r="A14">
        <v>2015</v>
      </c>
      <c r="B14">
        <v>35</v>
      </c>
      <c r="C14" s="755"/>
      <c r="D14" s="755"/>
      <c r="E14" s="755"/>
      <c r="F14" s="755"/>
      <c r="G14" s="6"/>
      <c r="H14" s="6"/>
      <c r="I14" s="7"/>
      <c r="J14" s="7"/>
      <c r="K14" s="6"/>
      <c r="L14" s="6"/>
      <c r="M14" s="6"/>
      <c r="N14" s="7"/>
      <c r="O14" s="7"/>
      <c r="P14" s="6"/>
      <c r="Q14" s="6"/>
      <c r="R14" s="6"/>
      <c r="S14" s="7"/>
      <c r="T14" s="7"/>
      <c r="U14" s="6"/>
      <c r="V14" s="6"/>
      <c r="W14" s="6"/>
      <c r="X14" s="7"/>
      <c r="Y14" s="7"/>
      <c r="Z14" s="6"/>
      <c r="AA14" s="6"/>
    </row>
    <row r="15" spans="1:27" customFormat="1" x14ac:dyDescent="0.25">
      <c r="A15">
        <v>2016</v>
      </c>
      <c r="B15">
        <v>36</v>
      </c>
      <c r="C15" s="755"/>
      <c r="D15" s="755"/>
      <c r="E15" s="755"/>
      <c r="F15" s="755"/>
      <c r="G15" s="6"/>
      <c r="H15" s="6"/>
      <c r="I15" s="7"/>
      <c r="J15" s="7"/>
      <c r="K15" s="6"/>
      <c r="L15" s="6"/>
      <c r="M15" s="6"/>
      <c r="N15" s="7"/>
      <c r="O15" s="7"/>
      <c r="P15" s="6"/>
      <c r="Q15" s="6"/>
      <c r="R15" s="6"/>
      <c r="S15" s="7"/>
      <c r="T15" s="7"/>
      <c r="U15" s="6"/>
      <c r="V15" s="6"/>
      <c r="W15" s="6"/>
      <c r="X15" s="7"/>
      <c r="Y15" s="7"/>
      <c r="Z15" s="6"/>
      <c r="AA15" s="6"/>
    </row>
    <row r="16" spans="1:27" x14ac:dyDescent="0.25">
      <c r="A16">
        <v>2017</v>
      </c>
      <c r="B16">
        <v>39</v>
      </c>
      <c r="C16" s="755"/>
      <c r="D16" s="755"/>
      <c r="E16" s="755"/>
      <c r="F16" s="755"/>
      <c r="I16" s="16"/>
      <c r="J16" s="14"/>
      <c r="N16" s="16"/>
      <c r="O16" s="14"/>
      <c r="S16" s="16"/>
      <c r="T16" s="14"/>
      <c r="X16" s="16"/>
      <c r="Y16" s="14"/>
    </row>
    <row r="17" spans="1:25" x14ac:dyDescent="0.25">
      <c r="A17">
        <v>2018</v>
      </c>
      <c r="B17">
        <v>41</v>
      </c>
      <c r="C17" s="755"/>
      <c r="D17" s="755"/>
      <c r="E17" s="755"/>
      <c r="F17" s="755"/>
      <c r="I17" s="16"/>
      <c r="J17" s="14"/>
      <c r="N17" s="16"/>
      <c r="O17" s="14"/>
      <c r="S17" s="16"/>
      <c r="T17" s="14"/>
      <c r="X17" s="16"/>
      <c r="Y17" s="14"/>
    </row>
    <row r="18" spans="1:25" x14ac:dyDescent="0.25">
      <c r="A18">
        <v>2019</v>
      </c>
      <c r="B18">
        <v>40</v>
      </c>
      <c r="C18" s="755"/>
      <c r="D18" s="755"/>
      <c r="E18" s="755"/>
      <c r="F18" s="755"/>
      <c r="I18" s="16"/>
      <c r="J18" s="14"/>
      <c r="N18" s="16"/>
      <c r="O18" s="14"/>
      <c r="S18" s="16"/>
      <c r="T18" s="14"/>
      <c r="X18" s="16"/>
      <c r="Y18" s="14"/>
    </row>
    <row r="19" spans="1:25" x14ac:dyDescent="0.25">
      <c r="A19">
        <v>2020</v>
      </c>
      <c r="B19">
        <v>37</v>
      </c>
      <c r="C19" s="755"/>
      <c r="D19" s="755"/>
      <c r="E19" s="755"/>
      <c r="F19" s="755"/>
      <c r="I19" s="16"/>
      <c r="J19" s="14"/>
      <c r="N19" s="16"/>
      <c r="O19" s="14"/>
      <c r="S19" s="16"/>
      <c r="T19" s="14"/>
      <c r="X19" s="16"/>
      <c r="Y19" s="14"/>
    </row>
    <row r="20" spans="1:25" s="127" customFormat="1" x14ac:dyDescent="0.25">
      <c r="A20">
        <v>2021</v>
      </c>
      <c r="B20">
        <v>35</v>
      </c>
      <c r="C20" s="755"/>
      <c r="D20" s="755"/>
      <c r="E20" s="755"/>
      <c r="F20" s="755"/>
      <c r="I20" s="128"/>
      <c r="J20" s="129"/>
      <c r="N20" s="128"/>
      <c r="O20" s="129"/>
      <c r="S20" s="128"/>
      <c r="T20" s="129"/>
      <c r="X20" s="128"/>
      <c r="Y20" s="129"/>
    </row>
    <row r="21" spans="1:25" x14ac:dyDescent="0.25">
      <c r="A21">
        <v>2022</v>
      </c>
      <c r="B21">
        <v>35</v>
      </c>
      <c r="C21" s="755"/>
      <c r="D21" s="755"/>
      <c r="E21" s="755"/>
      <c r="F21" s="755"/>
      <c r="I21" s="16"/>
      <c r="J21" s="14"/>
      <c r="N21" s="16"/>
      <c r="O21" s="14"/>
      <c r="S21" s="16"/>
      <c r="T21" s="14"/>
      <c r="X21" s="16"/>
      <c r="Y21" s="14"/>
    </row>
  </sheetData>
  <sheetProtection selectLockedCells="1" selectUnlockedCells="1"/>
  <phoneticPr fontId="33" type="noConversion"/>
  <hyperlinks>
    <hyperlink ref="E1" location="Índice!A1" display="ir a índice" xr:uid="{959A6FAF-4F63-472B-9794-A663A610860E}"/>
  </hyperlinks>
  <pageMargins left="0.75" right="0.75" top="0.62986111111111109" bottom="1" header="0.51180555555555551" footer="0.51180555555555551"/>
  <pageSetup paperSize="9" firstPageNumber="0" orientation="landscape" horizontalDpi="300" verticalDpi="300"/>
  <headerFooter alignWithMargins="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7">
    <tabColor rgb="FFBF8B2E"/>
    <pageSetUpPr fitToPage="1"/>
  </sheetPr>
  <dimension ref="A1:T4"/>
  <sheetViews>
    <sheetView workbookViewId="0">
      <selection activeCell="M1" sqref="M1"/>
    </sheetView>
  </sheetViews>
  <sheetFormatPr baseColWidth="10" defaultColWidth="11.42578125" defaultRowHeight="14.25" x14ac:dyDescent="0.25"/>
  <cols>
    <col min="1" max="1" width="27.28515625" style="6" customWidth="1"/>
    <col min="2" max="4" width="11" style="6" hidden="1" customWidth="1"/>
    <col min="5" max="5" width="12.85546875" style="6" customWidth="1"/>
    <col min="6" max="14" width="0" style="6" hidden="1" customWidth="1"/>
    <col min="15" max="19" width="12.42578125" style="6" customWidth="1"/>
    <col min="20" max="16384" width="11.42578125" style="6"/>
  </cols>
  <sheetData>
    <row r="1" spans="1:20" x14ac:dyDescent="0.25">
      <c r="A1" s="555" t="s">
        <v>1206</v>
      </c>
      <c r="E1" s="942" t="s">
        <v>1230</v>
      </c>
      <c r="T1" s="942" t="s">
        <v>1230</v>
      </c>
    </row>
    <row r="2" spans="1:20" x14ac:dyDescent="0.25">
      <c r="A2" s="555" t="s">
        <v>91</v>
      </c>
      <c r="B2" s="7"/>
      <c r="C2" s="2"/>
      <c r="D2" s="18"/>
      <c r="E2" s="2"/>
    </row>
    <row r="3" spans="1:20" x14ac:dyDescent="0.25">
      <c r="A3" t="s">
        <v>1008</v>
      </c>
      <c r="B3" t="s">
        <v>1009</v>
      </c>
      <c r="C3" t="s">
        <v>1179</v>
      </c>
      <c r="D3" t="s">
        <v>1184</v>
      </c>
      <c r="E3" t="s">
        <v>1185</v>
      </c>
      <c r="F3" t="s">
        <v>1186</v>
      </c>
      <c r="G3" t="s">
        <v>1187</v>
      </c>
      <c r="H3" t="s">
        <v>1188</v>
      </c>
      <c r="I3" t="s">
        <v>1189</v>
      </c>
      <c r="J3" t="s">
        <v>1190</v>
      </c>
      <c r="K3" t="s">
        <v>1191</v>
      </c>
      <c r="L3" t="s">
        <v>1192</v>
      </c>
      <c r="M3" t="s">
        <v>1193</v>
      </c>
      <c r="N3" t="s">
        <v>1194</v>
      </c>
      <c r="O3" t="s">
        <v>1111</v>
      </c>
      <c r="P3" t="s">
        <v>1112</v>
      </c>
      <c r="Q3" t="s">
        <v>1113</v>
      </c>
      <c r="R3" t="s">
        <v>1114</v>
      </c>
      <c r="S3" t="s">
        <v>1115</v>
      </c>
    </row>
    <row r="4" spans="1:20" x14ac:dyDescent="0.25">
      <c r="A4" t="s">
        <v>454</v>
      </c>
      <c r="B4">
        <v>25000</v>
      </c>
      <c r="C4">
        <v>30741</v>
      </c>
      <c r="D4">
        <v>26803</v>
      </c>
      <c r="E4">
        <v>20523</v>
      </c>
      <c r="F4">
        <v>28825</v>
      </c>
      <c r="G4">
        <v>24493</v>
      </c>
      <c r="H4">
        <v>17469</v>
      </c>
      <c r="I4">
        <v>16862</v>
      </c>
      <c r="J4">
        <v>20272</v>
      </c>
      <c r="K4">
        <v>20094</v>
      </c>
      <c r="L4">
        <v>19266</v>
      </c>
      <c r="M4">
        <v>16014</v>
      </c>
      <c r="N4">
        <v>15937</v>
      </c>
      <c r="O4">
        <v>18749</v>
      </c>
      <c r="P4">
        <v>18862</v>
      </c>
      <c r="Q4">
        <v>17554</v>
      </c>
      <c r="R4">
        <v>18681</v>
      </c>
      <c r="S4">
        <v>15464</v>
      </c>
    </row>
  </sheetData>
  <sheetProtection selectLockedCells="1" selectUnlockedCells="1"/>
  <phoneticPr fontId="33" type="noConversion"/>
  <hyperlinks>
    <hyperlink ref="E1" location="Índice!A1" display="ir a índice" xr:uid="{2E1F5E30-0DD5-4061-AE73-2CAAECA50037}"/>
    <hyperlink ref="T1" location="Índice!A1" display="ir a índice" xr:uid="{56BFF0F1-1960-4C2A-A6F2-B14C5B7AFFC6}"/>
  </hyperlinks>
  <pageMargins left="0.75" right="0.75" top="0.3298611111111111" bottom="1" header="0.51180555555555551" footer="0.51180555555555551"/>
  <pageSetup paperSize="9" firstPageNumber="0" orientation="landscape" horizontalDpi="300" verticalDpi="300" r:id="rId1"/>
  <headerFooter alignWithMargins="0"/>
  <drawing r:id="rId2"/>
  <tableParts count="1">
    <tablePart r:id="rId3"/>
  </tablePar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8">
    <tabColor rgb="FFBF8B2E"/>
    <pageSetUpPr fitToPage="1"/>
  </sheetPr>
  <dimension ref="A1:AB144"/>
  <sheetViews>
    <sheetView zoomScale="130" zoomScaleNormal="130" workbookViewId="0">
      <pane ySplit="3" topLeftCell="A4" activePane="bottomLeft" state="frozen"/>
      <selection activeCell="M1" sqref="M1"/>
      <selection pane="bottomLeft" activeCell="M1" sqref="M1"/>
    </sheetView>
  </sheetViews>
  <sheetFormatPr baseColWidth="10" defaultColWidth="11" defaultRowHeight="14.25" x14ac:dyDescent="0.25"/>
  <cols>
    <col min="1" max="1" width="14.7109375" style="97" customWidth="1"/>
    <col min="2" max="2" width="54.140625" style="97" customWidth="1"/>
    <col min="3" max="3" width="9.42578125" style="97" hidden="1" customWidth="1"/>
    <col min="4" max="4" width="9.5703125" style="97" hidden="1" customWidth="1"/>
    <col min="5" max="5" width="12.85546875" style="97" customWidth="1"/>
    <col min="6" max="6" width="8.85546875" style="97" hidden="1" customWidth="1"/>
    <col min="7" max="7" width="8.7109375" style="97" hidden="1" customWidth="1"/>
    <col min="8" max="10" width="9.42578125" style="97" customWidth="1"/>
    <col min="11" max="13" width="7.5703125" style="97" customWidth="1"/>
    <col min="14" max="14" width="9.85546875" style="97" customWidth="1"/>
    <col min="15" max="15" width="18.7109375" style="97" customWidth="1"/>
    <col min="16" max="16" width="12.85546875" style="97" hidden="1" customWidth="1"/>
    <col min="17" max="19" width="11.5703125" style="97" hidden="1" customWidth="1"/>
    <col min="20" max="20" width="19.5703125" style="97" hidden="1" customWidth="1"/>
    <col min="21" max="25" width="0" style="97" hidden="1" customWidth="1"/>
    <col min="26" max="16384" width="11" style="97"/>
  </cols>
  <sheetData>
    <row r="1" spans="1:26" s="758" customFormat="1" ht="26.25" customHeight="1" x14ac:dyDescent="0.25">
      <c r="A1" s="555" t="s">
        <v>1225</v>
      </c>
      <c r="B1" s="767"/>
      <c r="C1" s="767"/>
      <c r="D1" s="767"/>
      <c r="E1" s="942" t="s">
        <v>1230</v>
      </c>
      <c r="F1" s="767"/>
      <c r="G1" s="767"/>
      <c r="H1" s="767"/>
      <c r="I1" s="767"/>
      <c r="J1" s="767"/>
      <c r="K1" s="767"/>
      <c r="L1" s="767"/>
      <c r="M1" s="942" t="s">
        <v>1230</v>
      </c>
      <c r="N1" s="767"/>
      <c r="O1" s="767"/>
      <c r="P1" s="767"/>
      <c r="Q1" s="767"/>
      <c r="R1" s="767"/>
      <c r="S1" s="767"/>
      <c r="T1" s="767"/>
      <c r="U1" s="767"/>
      <c r="V1" s="767"/>
      <c r="W1" s="767"/>
      <c r="X1" s="767"/>
      <c r="Y1" s="767"/>
      <c r="Z1" s="767"/>
    </row>
    <row r="2" spans="1:26" s="758" customFormat="1" ht="15.75" customHeight="1" thickBot="1" x14ac:dyDescent="0.3">
      <c r="A2" s="555" t="s">
        <v>91</v>
      </c>
      <c r="B2" s="97"/>
      <c r="C2" s="97"/>
      <c r="D2" s="97"/>
      <c r="E2" s="97"/>
      <c r="F2" s="97"/>
      <c r="G2" s="97"/>
      <c r="H2" s="97"/>
      <c r="I2" s="97"/>
      <c r="J2" s="97"/>
      <c r="K2" s="97"/>
      <c r="L2" s="97"/>
      <c r="M2" s="97"/>
      <c r="N2" s="97"/>
      <c r="O2" s="97"/>
      <c r="P2" s="97"/>
      <c r="Q2" s="97"/>
      <c r="R2" s="97"/>
      <c r="S2" s="97"/>
      <c r="T2" s="97"/>
      <c r="U2" s="97"/>
      <c r="V2" s="97"/>
      <c r="W2" s="97"/>
      <c r="X2" s="97"/>
      <c r="Y2" s="97"/>
      <c r="Z2" s="97"/>
    </row>
    <row r="3" spans="1:26" s="812" customFormat="1" ht="15" thickBot="1" x14ac:dyDescent="0.3">
      <c r="A3" s="806" t="s">
        <v>455</v>
      </c>
      <c r="B3" s="807" t="s">
        <v>0</v>
      </c>
      <c r="C3" s="808">
        <v>2012</v>
      </c>
      <c r="D3" s="809">
        <v>2013</v>
      </c>
      <c r="E3" s="809">
        <v>2014</v>
      </c>
      <c r="F3" s="809">
        <v>2015</v>
      </c>
      <c r="G3" s="809">
        <v>2016</v>
      </c>
      <c r="H3" s="809">
        <v>2017</v>
      </c>
      <c r="I3" s="809">
        <v>2018</v>
      </c>
      <c r="J3" s="809">
        <v>2019</v>
      </c>
      <c r="K3" s="809">
        <v>2020</v>
      </c>
      <c r="L3" s="809">
        <v>2021</v>
      </c>
      <c r="M3" s="809">
        <v>2022</v>
      </c>
      <c r="N3" s="807" t="s">
        <v>456</v>
      </c>
      <c r="O3" s="810" t="s">
        <v>457</v>
      </c>
      <c r="P3" s="811"/>
      <c r="Q3" s="811"/>
      <c r="R3" s="811"/>
      <c r="S3" s="811"/>
    </row>
    <row r="4" spans="1:26" s="812" customFormat="1" ht="13.5" customHeight="1" x14ac:dyDescent="0.25">
      <c r="A4" s="984" t="s">
        <v>458</v>
      </c>
      <c r="B4" s="985"/>
      <c r="C4" s="985"/>
      <c r="D4" s="985"/>
      <c r="E4" s="985"/>
      <c r="F4" s="985"/>
      <c r="G4" s="985"/>
      <c r="H4" s="985"/>
      <c r="I4" s="985"/>
      <c r="J4" s="985"/>
      <c r="K4" s="985"/>
      <c r="L4" s="985"/>
      <c r="M4" s="985"/>
      <c r="N4" s="985"/>
      <c r="O4" s="986"/>
      <c r="P4" s="811"/>
      <c r="Q4" s="811"/>
      <c r="R4" s="811"/>
      <c r="S4" s="811"/>
    </row>
    <row r="5" spans="1:26" ht="36" x14ac:dyDescent="0.25">
      <c r="A5" s="813" t="s">
        <v>459</v>
      </c>
      <c r="B5" s="814" t="s">
        <v>460</v>
      </c>
      <c r="C5" s="815">
        <v>4.58</v>
      </c>
      <c r="D5" s="816">
        <v>4.54</v>
      </c>
      <c r="E5" s="816">
        <v>4.74</v>
      </c>
      <c r="F5" s="816">
        <v>4.49</v>
      </c>
      <c r="G5" s="816">
        <v>4.91</v>
      </c>
      <c r="H5" s="815">
        <v>4.6500000000000004</v>
      </c>
      <c r="I5" s="817">
        <v>4.01</v>
      </c>
      <c r="J5" s="817">
        <v>3.97</v>
      </c>
      <c r="K5" s="817">
        <v>4.04</v>
      </c>
      <c r="L5" s="817">
        <v>3.97</v>
      </c>
      <c r="M5" s="815">
        <f>'Figura 1.5-2'!F4</f>
        <v>3.81</v>
      </c>
      <c r="N5" s="818" t="s">
        <v>461</v>
      </c>
      <c r="O5" s="819" t="s">
        <v>462</v>
      </c>
      <c r="P5"/>
      <c r="Q5"/>
      <c r="R5"/>
      <c r="S5"/>
    </row>
    <row r="6" spans="1:26" ht="39" customHeight="1" x14ac:dyDescent="0.25">
      <c r="A6" s="813" t="s">
        <v>463</v>
      </c>
      <c r="B6" s="814" t="s">
        <v>464</v>
      </c>
      <c r="C6" s="818" t="s">
        <v>42</v>
      </c>
      <c r="D6" s="815">
        <v>19.64</v>
      </c>
      <c r="E6" s="815">
        <v>18.68</v>
      </c>
      <c r="F6" s="815">
        <v>16.61</v>
      </c>
      <c r="G6" s="815">
        <v>16.64</v>
      </c>
      <c r="H6" s="815">
        <v>15.67</v>
      </c>
      <c r="I6" s="817">
        <v>16.239999999999998</v>
      </c>
      <c r="J6" s="817">
        <v>16.600000000000001</v>
      </c>
      <c r="K6" s="817">
        <v>29.25</v>
      </c>
      <c r="L6" s="817">
        <v>30.56</v>
      </c>
      <c r="M6" s="815">
        <f>'Figura 1.5-2'!F5</f>
        <v>27.05</v>
      </c>
      <c r="N6" s="818" t="s">
        <v>461</v>
      </c>
      <c r="O6" s="819" t="s">
        <v>465</v>
      </c>
      <c r="P6"/>
      <c r="Q6"/>
      <c r="R6"/>
      <c r="S6"/>
      <c r="T6" s="820"/>
      <c r="U6" s="820"/>
      <c r="V6" s="820"/>
      <c r="W6" s="820"/>
      <c r="X6" s="820"/>
    </row>
    <row r="7" spans="1:26" ht="18" x14ac:dyDescent="0.25">
      <c r="A7" s="813" t="s">
        <v>466</v>
      </c>
      <c r="B7" s="821" t="s">
        <v>467</v>
      </c>
      <c r="C7" s="818" t="s">
        <v>468</v>
      </c>
      <c r="D7" s="818" t="s">
        <v>468</v>
      </c>
      <c r="E7" s="818" t="s">
        <v>469</v>
      </c>
      <c r="F7" s="818">
        <v>16</v>
      </c>
      <c r="G7" s="822">
        <v>16</v>
      </c>
      <c r="H7" s="818">
        <v>16</v>
      </c>
      <c r="I7" s="823">
        <v>14</v>
      </c>
      <c r="J7" s="823">
        <v>14</v>
      </c>
      <c r="K7" s="823">
        <v>14</v>
      </c>
      <c r="L7" s="823">
        <v>14</v>
      </c>
      <c r="M7" s="823">
        <v>14</v>
      </c>
      <c r="N7" s="818" t="s">
        <v>470</v>
      </c>
      <c r="O7" s="819" t="s">
        <v>471</v>
      </c>
      <c r="P7"/>
      <c r="Q7"/>
      <c r="R7"/>
      <c r="S7"/>
      <c r="T7" s="820"/>
      <c r="U7" s="820"/>
      <c r="V7" s="820"/>
      <c r="W7" s="820"/>
      <c r="X7" s="820"/>
    </row>
    <row r="8" spans="1:26" ht="71.25" x14ac:dyDescent="0.25">
      <c r="A8" s="813" t="s">
        <v>472</v>
      </c>
      <c r="B8" s="821" t="s">
        <v>473</v>
      </c>
      <c r="C8" s="818" t="s">
        <v>42</v>
      </c>
      <c r="D8" s="818">
        <v>95</v>
      </c>
      <c r="E8" s="818">
        <v>94</v>
      </c>
      <c r="F8" s="818">
        <v>85</v>
      </c>
      <c r="G8" s="818">
        <v>88</v>
      </c>
      <c r="H8" s="818">
        <v>86</v>
      </c>
      <c r="I8" s="823">
        <v>90</v>
      </c>
      <c r="J8" s="823">
        <v>92</v>
      </c>
      <c r="K8" s="823">
        <v>88</v>
      </c>
      <c r="L8" s="823">
        <v>92</v>
      </c>
      <c r="M8" s="818">
        <f>'Figura 1.5-2'!F7</f>
        <v>100</v>
      </c>
      <c r="N8" s="818" t="s">
        <v>470</v>
      </c>
      <c r="O8" s="819" t="s">
        <v>474</v>
      </c>
      <c r="P8"/>
      <c r="Q8"/>
      <c r="R8"/>
      <c r="S8"/>
      <c r="T8" s="820"/>
      <c r="U8" s="820" t="s">
        <v>475</v>
      </c>
      <c r="V8" s="820"/>
      <c r="W8" s="820"/>
      <c r="X8" s="820"/>
    </row>
    <row r="9" spans="1:26" ht="37.5" customHeight="1" x14ac:dyDescent="0.25">
      <c r="A9" s="824" t="s">
        <v>476</v>
      </c>
      <c r="B9" s="825" t="s">
        <v>477</v>
      </c>
      <c r="C9" s="823">
        <f t="shared" ref="C9:I9" si="0">SUM(C21,C22,C23,C28,C57)</f>
        <v>66809.077846000029</v>
      </c>
      <c r="D9" s="823">
        <f t="shared" si="0"/>
        <v>61703.319799999997</v>
      </c>
      <c r="E9" s="823">
        <f t="shared" si="0"/>
        <v>56549.303999999996</v>
      </c>
      <c r="F9" s="823">
        <f t="shared" si="0"/>
        <v>57776.388790000005</v>
      </c>
      <c r="G9" s="823">
        <f t="shared" si="0"/>
        <v>58842.831002999992</v>
      </c>
      <c r="H9" s="823">
        <f t="shared" si="0"/>
        <v>59800.533998999999</v>
      </c>
      <c r="I9" s="823">
        <f t="shared" si="0"/>
        <v>65628.396000000008</v>
      </c>
      <c r="J9" s="823">
        <v>69620.712005999987</v>
      </c>
      <c r="K9" s="823">
        <v>71942.123487000004</v>
      </c>
      <c r="L9" s="823">
        <v>72306.219763000001</v>
      </c>
      <c r="M9" s="823">
        <f>' Tabla 1.5-8'!B4+'Tabla 1.5-10'!B4+'Tabla 1.5-12'!B4</f>
        <v>71454.760757000011</v>
      </c>
      <c r="N9" s="818" t="s">
        <v>478</v>
      </c>
      <c r="O9" s="819" t="s">
        <v>1207</v>
      </c>
      <c r="P9"/>
      <c r="Q9"/>
      <c r="R9"/>
      <c r="S9"/>
      <c r="T9" s="826"/>
      <c r="U9" s="826"/>
      <c r="V9" s="826"/>
      <c r="W9" s="826"/>
      <c r="X9" s="826"/>
      <c r="Y9" s="827"/>
    </row>
    <row r="10" spans="1:26" ht="27" x14ac:dyDescent="0.25">
      <c r="A10" s="813" t="s">
        <v>479</v>
      </c>
      <c r="B10" s="821" t="s">
        <v>480</v>
      </c>
      <c r="C10" s="818">
        <v>4314515.2083201259</v>
      </c>
      <c r="D10" s="818">
        <v>3877865.0128599997</v>
      </c>
      <c r="E10" s="822">
        <v>4102018.3634789996</v>
      </c>
      <c r="F10" s="822">
        <v>4335283.926</v>
      </c>
      <c r="G10" s="822">
        <v>3703265.5301410002</v>
      </c>
      <c r="H10" s="818">
        <v>4416288.6158730006</v>
      </c>
      <c r="I10" s="823">
        <v>3801798.1962010004</v>
      </c>
      <c r="J10" s="823">
        <v>3303921.0615680004</v>
      </c>
      <c r="K10" s="818">
        <v>2793174</v>
      </c>
      <c r="L10" s="818">
        <v>2978287.1477229996</v>
      </c>
      <c r="M10" s="828">
        <v>3103808.9259169996</v>
      </c>
      <c r="N10" s="818" t="s">
        <v>478</v>
      </c>
      <c r="O10" s="829" t="s">
        <v>481</v>
      </c>
      <c r="P10"/>
      <c r="Q10"/>
      <c r="R10"/>
      <c r="S10"/>
      <c r="T10" s="830" t="s">
        <v>482</v>
      </c>
      <c r="U10" s="820"/>
      <c r="V10" s="820"/>
      <c r="W10" s="820"/>
      <c r="X10" s="820"/>
    </row>
    <row r="11" spans="1:26" ht="28.5" customHeight="1" x14ac:dyDescent="0.25">
      <c r="A11" s="831" t="s">
        <v>483</v>
      </c>
      <c r="B11" s="832" t="s">
        <v>484</v>
      </c>
      <c r="C11" s="990">
        <v>3485029.5823670402</v>
      </c>
      <c r="D11" s="991"/>
      <c r="E11" s="991"/>
      <c r="F11" s="991"/>
      <c r="G11" s="991"/>
      <c r="H11" s="991"/>
      <c r="I11" s="991"/>
      <c r="J11" s="991"/>
      <c r="K11" s="991"/>
      <c r="L11" s="992"/>
      <c r="M11" s="835"/>
      <c r="N11" s="836" t="s">
        <v>478</v>
      </c>
      <c r="O11" s="837" t="s">
        <v>485</v>
      </c>
      <c r="P11"/>
      <c r="Q11"/>
      <c r="R11"/>
      <c r="S11"/>
      <c r="T11" s="838">
        <f>(C11-H10)/C11</f>
        <v>-0.26721696659844335</v>
      </c>
      <c r="U11" s="820"/>
      <c r="V11" s="820"/>
      <c r="W11" s="820"/>
      <c r="X11" s="820"/>
    </row>
    <row r="12" spans="1:26" ht="21.75" customHeight="1" thickBot="1" x14ac:dyDescent="0.3">
      <c r="A12" s="839" t="s">
        <v>486</v>
      </c>
      <c r="B12" s="840" t="s">
        <v>487</v>
      </c>
      <c r="C12" s="841">
        <v>2561944</v>
      </c>
      <c r="D12" s="841">
        <v>2523952</v>
      </c>
      <c r="E12" s="841">
        <v>2388559</v>
      </c>
      <c r="F12" s="841">
        <v>2571815</v>
      </c>
      <c r="G12" s="841">
        <v>2473724.9601409999</v>
      </c>
      <c r="H12" s="841">
        <v>2629336.9248730005</v>
      </c>
      <c r="I12" s="842">
        <v>2597063.4162010001</v>
      </c>
      <c r="J12" s="842">
        <v>2687475.7345680003</v>
      </c>
      <c r="K12" s="841">
        <v>2641954</v>
      </c>
      <c r="L12" s="841">
        <v>2918997.8737229994</v>
      </c>
      <c r="M12" s="843">
        <v>2999901.2578169997</v>
      </c>
      <c r="N12" s="841" t="s">
        <v>478</v>
      </c>
      <c r="O12" s="844" t="s">
        <v>481</v>
      </c>
      <c r="P12"/>
      <c r="Q12"/>
      <c r="R12"/>
      <c r="S12"/>
      <c r="T12" s="845"/>
      <c r="U12" s="846"/>
      <c r="V12" s="820"/>
      <c r="W12" s="820"/>
      <c r="X12" s="820"/>
    </row>
    <row r="13" spans="1:26" s="850" customFormat="1" ht="15.75" customHeight="1" thickBot="1" x14ac:dyDescent="0.3">
      <c r="A13" s="987" t="s">
        <v>488</v>
      </c>
      <c r="B13" s="988"/>
      <c r="C13" s="988"/>
      <c r="D13" s="988"/>
      <c r="E13" s="988"/>
      <c r="F13" s="988"/>
      <c r="G13" s="988"/>
      <c r="H13" s="988"/>
      <c r="I13" s="988"/>
      <c r="J13" s="988"/>
      <c r="K13" s="988"/>
      <c r="L13" s="988"/>
      <c r="M13" s="988"/>
      <c r="N13" s="988"/>
      <c r="O13" s="989"/>
      <c r="P13" s="847"/>
      <c r="Q13" s="847"/>
      <c r="R13" s="847"/>
      <c r="S13" s="847"/>
      <c r="T13" s="848"/>
      <c r="U13" s="848"/>
      <c r="V13" s="848"/>
      <c r="W13" s="848"/>
      <c r="X13" s="848"/>
      <c r="Y13" s="849"/>
      <c r="Z13" s="849"/>
    </row>
    <row r="14" spans="1:26" ht="15" customHeight="1" x14ac:dyDescent="0.25">
      <c r="A14" s="851" t="s">
        <v>489</v>
      </c>
      <c r="B14" s="852" t="s">
        <v>490</v>
      </c>
      <c r="C14" s="853">
        <v>587822</v>
      </c>
      <c r="D14" s="853">
        <v>568140</v>
      </c>
      <c r="E14" s="853">
        <v>573764.65575804329</v>
      </c>
      <c r="F14" s="853">
        <v>587955.70831000002</v>
      </c>
      <c r="G14" s="853">
        <v>609775.25713017234</v>
      </c>
      <c r="H14" s="853">
        <v>616979.80132966372</v>
      </c>
      <c r="I14" s="853">
        <v>633846.76251753222</v>
      </c>
      <c r="J14" s="853">
        <v>632653.09324420581</v>
      </c>
      <c r="K14" s="853">
        <v>615359.8147925029</v>
      </c>
      <c r="L14" s="853">
        <v>640640.32690966362</v>
      </c>
      <c r="M14" s="853">
        <f>'Figura 1.5-3'!N9</f>
        <v>617917.83915138687</v>
      </c>
      <c r="N14" s="853" t="s">
        <v>478</v>
      </c>
      <c r="O14" s="993" t="s">
        <v>491</v>
      </c>
      <c r="P14"/>
      <c r="Q14"/>
      <c r="R14"/>
      <c r="S14"/>
      <c r="T14" s="820"/>
      <c r="U14" s="846"/>
      <c r="V14" s="820"/>
      <c r="W14" s="820"/>
      <c r="X14" s="820"/>
      <c r="Y14" s="680"/>
      <c r="Z14" s="680"/>
    </row>
    <row r="15" spans="1:26" ht="21" customHeight="1" x14ac:dyDescent="0.25">
      <c r="A15" s="813" t="s">
        <v>492</v>
      </c>
      <c r="B15" s="821" t="s">
        <v>493</v>
      </c>
      <c r="C15" s="818">
        <v>138426.6</v>
      </c>
      <c r="D15" s="818">
        <v>158870.37813000003</v>
      </c>
      <c r="E15" s="818">
        <v>156288.46456160001</v>
      </c>
      <c r="F15" s="818">
        <v>150075.92919315773</v>
      </c>
      <c r="G15" s="818">
        <v>153740.73834973999</v>
      </c>
      <c r="H15" s="818">
        <v>168154.99407163661</v>
      </c>
      <c r="I15" s="818">
        <v>166053.34504544773</v>
      </c>
      <c r="J15" s="823">
        <v>175494.42763992</v>
      </c>
      <c r="K15" s="823">
        <v>182530.78750478249</v>
      </c>
      <c r="L15" s="823">
        <v>187317.16809625164</v>
      </c>
      <c r="M15" s="818">
        <v>229970.57685299785</v>
      </c>
      <c r="N15" s="818" t="s">
        <v>478</v>
      </c>
      <c r="O15" s="1012"/>
      <c r="P15"/>
      <c r="Q15"/>
      <c r="R15"/>
      <c r="S15"/>
      <c r="T15" s="855"/>
      <c r="U15" s="855"/>
      <c r="V15" s="855"/>
      <c r="W15" s="855"/>
      <c r="X15" s="855"/>
      <c r="Y15" s="856"/>
      <c r="Z15" s="856"/>
    </row>
    <row r="16" spans="1:26" x14ac:dyDescent="0.25">
      <c r="A16" s="813" t="s">
        <v>494</v>
      </c>
      <c r="B16" s="821" t="s">
        <v>495</v>
      </c>
      <c r="C16" s="818">
        <f>'Figura 1.5-3'!D4</f>
        <v>445231.89432012604</v>
      </c>
      <c r="D16" s="818">
        <f>'Figura 1.5-3'!E4</f>
        <v>431262.90299999987</v>
      </c>
      <c r="E16" s="818">
        <f>'Figura 1.5-3'!F4</f>
        <v>434387</v>
      </c>
      <c r="F16" s="818">
        <f>'Figura 1.5-3'!G4</f>
        <v>438031.49</v>
      </c>
      <c r="G16" s="818">
        <f>'Figura 1.5-3'!H4</f>
        <v>444648.54199999996</v>
      </c>
      <c r="H16" s="818">
        <v>460274.16399999999</v>
      </c>
      <c r="I16" s="818">
        <v>457585</v>
      </c>
      <c r="J16" s="818">
        <v>450864.45599999948</v>
      </c>
      <c r="K16" s="823">
        <v>437970.02999999974</v>
      </c>
      <c r="L16" s="818">
        <v>445769.53500000091</v>
      </c>
      <c r="M16" s="818">
        <f>'Figura 1.5-3'!N4</f>
        <v>432384.80599999911</v>
      </c>
      <c r="N16" s="818" t="s">
        <v>478</v>
      </c>
      <c r="O16" s="1003" t="s">
        <v>496</v>
      </c>
      <c r="P16"/>
      <c r="Q16"/>
      <c r="R16"/>
      <c r="S16"/>
      <c r="T16" s="855"/>
      <c r="U16" s="820"/>
      <c r="V16" s="820"/>
      <c r="W16" s="820"/>
      <c r="X16" s="820"/>
    </row>
    <row r="17" spans="1:27" ht="18" x14ac:dyDescent="0.25">
      <c r="A17" s="813" t="s">
        <v>497</v>
      </c>
      <c r="B17" s="821" t="s">
        <v>498</v>
      </c>
      <c r="C17" s="818">
        <v>422744</v>
      </c>
      <c r="D17" s="818">
        <v>383148</v>
      </c>
      <c r="E17" s="818">
        <v>392774.1172000001</v>
      </c>
      <c r="F17" s="818">
        <v>415488.84</v>
      </c>
      <c r="G17" s="818">
        <v>433168.20280000009</v>
      </c>
      <c r="H17" s="818">
        <v>421964.95199999999</v>
      </c>
      <c r="I17" s="818">
        <v>439464.15599999996</v>
      </c>
      <c r="J17" s="823">
        <v>421505.75300000008</v>
      </c>
      <c r="K17" s="823">
        <v>369473</v>
      </c>
      <c r="L17" s="823">
        <v>411259</v>
      </c>
      <c r="M17" s="818">
        <v>364881.7028159991</v>
      </c>
      <c r="N17" s="818" t="s">
        <v>478</v>
      </c>
      <c r="O17" s="1012"/>
      <c r="P17"/>
      <c r="Q17"/>
      <c r="R17"/>
      <c r="S17"/>
      <c r="T17" s="820"/>
      <c r="U17" s="820"/>
      <c r="V17" s="820"/>
      <c r="W17" s="820"/>
      <c r="X17" s="820"/>
    </row>
    <row r="18" spans="1:27" ht="30" customHeight="1" x14ac:dyDescent="0.25">
      <c r="A18" s="813" t="s">
        <v>499</v>
      </c>
      <c r="B18" s="821" t="s">
        <v>500</v>
      </c>
      <c r="C18" s="818">
        <v>80397</v>
      </c>
      <c r="D18" s="818">
        <v>106589.64799999999</v>
      </c>
      <c r="E18" s="818">
        <v>101419.53999999998</v>
      </c>
      <c r="F18" s="818">
        <v>94164.489599999972</v>
      </c>
      <c r="G18" s="818">
        <f>96913.3911999999-G19</f>
        <v>96884.631199999902</v>
      </c>
      <c r="H18" s="818">
        <v>92315.810738328801</v>
      </c>
      <c r="I18" s="818">
        <v>92950.786747607897</v>
      </c>
      <c r="J18" s="823">
        <v>96881.03963871325</v>
      </c>
      <c r="K18" s="823">
        <v>101201.05</v>
      </c>
      <c r="L18" s="823">
        <v>101188</v>
      </c>
      <c r="M18" s="818">
        <v>138020.087184</v>
      </c>
      <c r="N18" s="818" t="s">
        <v>478</v>
      </c>
      <c r="O18" s="829" t="s">
        <v>501</v>
      </c>
      <c r="P18"/>
      <c r="Q18"/>
      <c r="R18"/>
      <c r="S18"/>
      <c r="T18" s="820"/>
      <c r="U18" s="820"/>
      <c r="V18" s="820"/>
      <c r="W18" s="820"/>
      <c r="X18" s="820"/>
    </row>
    <row r="19" spans="1:27" ht="15" customHeight="1" x14ac:dyDescent="0.25">
      <c r="A19" s="813" t="s">
        <v>502</v>
      </c>
      <c r="B19" s="821" t="s">
        <v>503</v>
      </c>
      <c r="C19" s="818" t="s">
        <v>504</v>
      </c>
      <c r="D19" s="818" t="s">
        <v>504</v>
      </c>
      <c r="E19" s="818" t="s">
        <v>504</v>
      </c>
      <c r="F19" s="818" t="s">
        <v>504</v>
      </c>
      <c r="G19" s="818">
        <v>28.76</v>
      </c>
      <c r="H19" s="818">
        <v>107.34</v>
      </c>
      <c r="I19" s="818">
        <v>1178.01</v>
      </c>
      <c r="J19" s="823">
        <v>4853.16</v>
      </c>
      <c r="K19" s="823">
        <v>5177.5899999999992</v>
      </c>
      <c r="L19" s="823">
        <v>5680.2900000000009</v>
      </c>
      <c r="M19" s="818">
        <f>'Tabla 1.5-4'!H37</f>
        <v>6307.4000000000005</v>
      </c>
      <c r="N19" s="818" t="s">
        <v>478</v>
      </c>
      <c r="O19" s="1003" t="s">
        <v>496</v>
      </c>
      <c r="P19"/>
      <c r="Q19"/>
      <c r="R19"/>
      <c r="S19"/>
      <c r="T19" s="820"/>
      <c r="U19" s="820"/>
      <c r="V19" s="820"/>
      <c r="W19" s="820"/>
      <c r="X19" s="820"/>
    </row>
    <row r="20" spans="1:27" x14ac:dyDescent="0.25">
      <c r="A20" s="813" t="s">
        <v>505</v>
      </c>
      <c r="B20" s="821" t="s">
        <v>506</v>
      </c>
      <c r="C20" s="818">
        <v>38866.839999999997</v>
      </c>
      <c r="D20" s="818">
        <v>39823.130899999996</v>
      </c>
      <c r="E20" s="818">
        <v>41411.557749999993</v>
      </c>
      <c r="F20" s="818">
        <v>44581.918100000003</v>
      </c>
      <c r="G20" s="818">
        <v>48468.195089999979</v>
      </c>
      <c r="H20" s="818">
        <v>49214.862799999995</v>
      </c>
      <c r="I20" s="818">
        <v>52768.0262</v>
      </c>
      <c r="J20" s="818">
        <v>52493.497279999989</v>
      </c>
      <c r="K20" s="818">
        <v>49290.0262</v>
      </c>
      <c r="L20" s="818">
        <v>57914.034100000004</v>
      </c>
      <c r="M20" s="818">
        <f>'Tabla 1.5-6'!P12</f>
        <v>55093.470099999999</v>
      </c>
      <c r="N20" s="818" t="s">
        <v>478</v>
      </c>
      <c r="O20" s="1012"/>
      <c r="P20"/>
      <c r="Q20"/>
      <c r="R20"/>
      <c r="S20"/>
      <c r="T20" s="820"/>
      <c r="U20" s="820"/>
      <c r="V20" s="820"/>
      <c r="W20" s="820"/>
      <c r="X20" s="820"/>
    </row>
    <row r="21" spans="1:27" ht="18" x14ac:dyDescent="0.25">
      <c r="A21" s="813" t="s">
        <v>507</v>
      </c>
      <c r="B21" s="821" t="s">
        <v>1208</v>
      </c>
      <c r="C21" s="818">
        <v>23821.77</v>
      </c>
      <c r="D21" s="818">
        <v>20470</v>
      </c>
      <c r="E21" s="818">
        <v>16668.157999999999</v>
      </c>
      <c r="F21" s="818">
        <v>17676.047999999999</v>
      </c>
      <c r="G21" s="818">
        <v>17777.82</v>
      </c>
      <c r="H21" s="818">
        <v>18197.259999999998</v>
      </c>
      <c r="I21" s="818">
        <v>18939.429</v>
      </c>
      <c r="J21" s="818">
        <v>20549.075999999997</v>
      </c>
      <c r="K21" s="818">
        <v>20131.969000000001</v>
      </c>
      <c r="L21" s="818">
        <v>20490.534999999996</v>
      </c>
      <c r="M21" s="818">
        <f>' Tabla 1.5-8'!B4</f>
        <v>20597.630009999997</v>
      </c>
      <c r="N21" s="818" t="s">
        <v>478</v>
      </c>
      <c r="O21" s="829" t="s">
        <v>465</v>
      </c>
      <c r="P21"/>
      <c r="Q21"/>
      <c r="R21"/>
      <c r="S21"/>
      <c r="T21" s="820"/>
      <c r="U21" s="820"/>
      <c r="V21" s="820"/>
      <c r="W21" s="820"/>
      <c r="X21" s="820"/>
    </row>
    <row r="22" spans="1:27" ht="18" x14ac:dyDescent="0.25">
      <c r="A22" s="813" t="s">
        <v>508</v>
      </c>
      <c r="B22" s="821" t="s">
        <v>509</v>
      </c>
      <c r="C22" s="818">
        <v>25515.545846000008</v>
      </c>
      <c r="D22" s="818">
        <v>24146.989799000006</v>
      </c>
      <c r="E22" s="818">
        <v>22514.116999999998</v>
      </c>
      <c r="F22" s="818">
        <v>22444.845150000001</v>
      </c>
      <c r="G22" s="818">
        <v>22740.536002999997</v>
      </c>
      <c r="H22" s="818">
        <v>22656</v>
      </c>
      <c r="I22" s="818">
        <v>25826</v>
      </c>
      <c r="J22" s="818">
        <v>26469.843002000001</v>
      </c>
      <c r="K22" s="818">
        <v>27126.023474000001</v>
      </c>
      <c r="L22" s="818">
        <v>27524.228754000003</v>
      </c>
      <c r="M22" s="818">
        <f>'Tabla 1.5-10'!B4</f>
        <v>26374.992748000004</v>
      </c>
      <c r="N22" s="818" t="s">
        <v>478</v>
      </c>
      <c r="O22" s="1003" t="s">
        <v>462</v>
      </c>
      <c r="P22"/>
      <c r="Q22"/>
      <c r="R22"/>
      <c r="S22"/>
      <c r="V22" s="857"/>
    </row>
    <row r="23" spans="1:27" ht="18" x14ac:dyDescent="0.25">
      <c r="A23" s="813" t="s">
        <v>510</v>
      </c>
      <c r="B23" s="821" t="s">
        <v>511</v>
      </c>
      <c r="C23" s="818">
        <v>17164.336000000003</v>
      </c>
      <c r="D23" s="818">
        <v>16706.656000999999</v>
      </c>
      <c r="E23" s="818">
        <v>16933.616000000002</v>
      </c>
      <c r="F23" s="818">
        <v>17206.408640000001</v>
      </c>
      <c r="G23" s="818">
        <v>17867.008999999998</v>
      </c>
      <c r="H23" s="818">
        <v>18483.809999000001</v>
      </c>
      <c r="I23" s="818">
        <v>20385</v>
      </c>
      <c r="J23" s="818">
        <v>22113.582004</v>
      </c>
      <c r="K23" s="818">
        <v>24200.626012999997</v>
      </c>
      <c r="L23" s="818">
        <v>24291.456008999998</v>
      </c>
      <c r="M23" s="818">
        <f>'Tabla 1.5-12'!B4</f>
        <v>24482.137999000006</v>
      </c>
      <c r="N23" s="818" t="s">
        <v>478</v>
      </c>
      <c r="O23" s="994"/>
      <c r="P23"/>
      <c r="Q23"/>
      <c r="R23"/>
      <c r="S23"/>
      <c r="T23" s="820"/>
      <c r="U23" s="820"/>
      <c r="V23" s="820"/>
      <c r="W23" s="820"/>
      <c r="X23" s="820"/>
      <c r="Y23" s="820"/>
      <c r="Z23" s="820"/>
      <c r="AA23" s="820"/>
    </row>
    <row r="24" spans="1:27" ht="18" x14ac:dyDescent="0.25">
      <c r="A24" s="813" t="s">
        <v>512</v>
      </c>
      <c r="B24" s="821" t="s">
        <v>1209</v>
      </c>
      <c r="C24" s="818">
        <v>18152.321919205508</v>
      </c>
      <c r="D24" s="818">
        <v>18158.449748670209</v>
      </c>
      <c r="E24" s="818">
        <v>16819.050093351154</v>
      </c>
      <c r="F24" s="818">
        <v>16147.7738788233</v>
      </c>
      <c r="G24" s="818">
        <v>15521.066999999999</v>
      </c>
      <c r="H24" s="818">
        <v>14950.390670630448</v>
      </c>
      <c r="I24" s="818">
        <v>15722.947307235998</v>
      </c>
      <c r="J24" s="818">
        <v>15234.185600000001</v>
      </c>
      <c r="K24" s="818">
        <v>15488.055538144001</v>
      </c>
      <c r="L24" s="818">
        <v>15486.564160274002</v>
      </c>
      <c r="M24" s="818">
        <f>' Tabla 1.5-14'!D4</f>
        <v>1814.7352121919998</v>
      </c>
      <c r="N24" s="818" t="s">
        <v>478</v>
      </c>
      <c r="O24" s="994"/>
      <c r="P24"/>
      <c r="Q24"/>
      <c r="R24"/>
      <c r="S24"/>
      <c r="T24" s="820"/>
      <c r="U24" s="820"/>
      <c r="V24" s="820"/>
      <c r="W24" s="820"/>
      <c r="X24" s="820"/>
      <c r="Y24" s="820"/>
      <c r="Z24" s="820"/>
      <c r="AA24" s="820"/>
    </row>
    <row r="25" spans="1:27" ht="18" x14ac:dyDescent="0.25">
      <c r="A25" s="813" t="s">
        <v>513</v>
      </c>
      <c r="B25" s="821" t="s">
        <v>1210</v>
      </c>
      <c r="C25" s="818">
        <v>9535.0822763662309</v>
      </c>
      <c r="D25" s="818">
        <v>9540.9056113811694</v>
      </c>
      <c r="E25" s="818">
        <v>9399.6004524584932</v>
      </c>
      <c r="F25" s="818">
        <v>9531.994235473252</v>
      </c>
      <c r="G25" s="818">
        <v>9720.4559999999983</v>
      </c>
      <c r="H25" s="818">
        <v>9519.8493699044502</v>
      </c>
      <c r="I25" s="818">
        <v>7840.0517495549993</v>
      </c>
      <c r="J25" s="818">
        <v>4846</v>
      </c>
      <c r="K25" s="818">
        <v>5465.3418094849994</v>
      </c>
      <c r="L25" s="818">
        <v>4434.4605660739999</v>
      </c>
      <c r="M25" s="818">
        <f>' Tabla 1.5-14'!C4</f>
        <v>3317.3702344739995</v>
      </c>
      <c r="N25" s="818" t="s">
        <v>478</v>
      </c>
      <c r="O25" s="994"/>
      <c r="P25"/>
      <c r="Q25"/>
      <c r="R25"/>
      <c r="S25"/>
      <c r="T25" s="820"/>
      <c r="U25" s="820"/>
      <c r="V25" s="820"/>
      <c r="W25" s="820"/>
      <c r="X25" s="820"/>
      <c r="Y25" s="820"/>
      <c r="Z25" s="820"/>
      <c r="AA25" s="820"/>
    </row>
    <row r="26" spans="1:27" ht="18" x14ac:dyDescent="0.25">
      <c r="A26" s="813" t="s">
        <v>514</v>
      </c>
      <c r="B26" s="821" t="s">
        <v>1211</v>
      </c>
      <c r="C26" s="818">
        <v>13297.041555551561</v>
      </c>
      <c r="D26" s="818">
        <v>11202.675756125089</v>
      </c>
      <c r="E26" s="818">
        <v>12384.436635655069</v>
      </c>
      <c r="F26" s="818">
        <v>11984.468416381118</v>
      </c>
      <c r="G26" s="818">
        <v>12754.905999999999</v>
      </c>
      <c r="H26" s="818">
        <v>14973.83273632075</v>
      </c>
      <c r="I26" s="818">
        <v>15483.968555923999</v>
      </c>
      <c r="J26" s="818">
        <v>12951.211920222002</v>
      </c>
      <c r="K26" s="818">
        <v>15167.360210441</v>
      </c>
      <c r="L26" s="818">
        <v>15837.581027667999</v>
      </c>
      <c r="M26" s="818">
        <f>' Tabla 1.5-14'!B4</f>
        <v>12537.456596776097</v>
      </c>
      <c r="N26" s="818" t="s">
        <v>478</v>
      </c>
      <c r="O26" s="994"/>
      <c r="P26"/>
      <c r="Q26"/>
      <c r="R26"/>
      <c r="S26"/>
      <c r="T26" s="820"/>
      <c r="U26" s="820"/>
      <c r="V26" s="820"/>
      <c r="W26" s="820"/>
      <c r="X26" s="820"/>
      <c r="Y26" s="820"/>
      <c r="Z26" s="820"/>
      <c r="AA26" s="820"/>
    </row>
    <row r="27" spans="1:27" ht="18" x14ac:dyDescent="0.25">
      <c r="A27" s="813" t="s">
        <v>515</v>
      </c>
      <c r="B27" s="821" t="s">
        <v>1212</v>
      </c>
      <c r="C27" s="818">
        <v>800</v>
      </c>
      <c r="D27" s="818">
        <v>800</v>
      </c>
      <c r="E27" s="818">
        <v>800</v>
      </c>
      <c r="F27" s="818">
        <v>800</v>
      </c>
      <c r="G27" s="818">
        <v>800</v>
      </c>
      <c r="H27" s="818">
        <v>800</v>
      </c>
      <c r="I27" s="818">
        <v>302</v>
      </c>
      <c r="J27" s="818">
        <v>0</v>
      </c>
      <c r="K27" s="818">
        <v>0</v>
      </c>
      <c r="L27" s="823">
        <v>0</v>
      </c>
      <c r="M27" s="823">
        <v>0</v>
      </c>
      <c r="N27" s="818" t="s">
        <v>478</v>
      </c>
      <c r="O27" s="1012"/>
      <c r="P27"/>
      <c r="Q27"/>
      <c r="R27"/>
      <c r="S27"/>
      <c r="T27" s="820"/>
      <c r="U27" s="820"/>
      <c r="V27" s="820"/>
      <c r="W27" s="820"/>
      <c r="X27" s="820"/>
      <c r="Y27" s="820"/>
      <c r="Z27" s="820"/>
      <c r="AA27" s="820"/>
    </row>
    <row r="28" spans="1:27" ht="18.75" thickBot="1" x14ac:dyDescent="0.3">
      <c r="A28" s="839" t="s">
        <v>516</v>
      </c>
      <c r="B28" s="840" t="s">
        <v>517</v>
      </c>
      <c r="C28" s="841">
        <v>143.71600000000001</v>
      </c>
      <c r="D28" s="841">
        <v>151.60400000000001</v>
      </c>
      <c r="E28" s="841">
        <v>163.19300000000001</v>
      </c>
      <c r="F28" s="841">
        <v>170.947</v>
      </c>
      <c r="G28" s="841">
        <v>166.976</v>
      </c>
      <c r="H28" s="841">
        <v>161.32400000000001</v>
      </c>
      <c r="I28" s="841">
        <v>167.477</v>
      </c>
      <c r="J28" s="841">
        <v>178.565</v>
      </c>
      <c r="K28" s="841">
        <v>137.505</v>
      </c>
      <c r="L28" s="841">
        <v>145.58199999999999</v>
      </c>
      <c r="M28" s="841">
        <f>'Figura 1.5-12'!U4</f>
        <v>156.22200000000001</v>
      </c>
      <c r="N28" s="841" t="s">
        <v>478</v>
      </c>
      <c r="O28" s="858" t="s">
        <v>518</v>
      </c>
      <c r="P28"/>
      <c r="Q28"/>
      <c r="R28"/>
      <c r="S28"/>
      <c r="T28" s="820"/>
      <c r="U28" s="820"/>
      <c r="V28" s="820"/>
      <c r="W28" s="820"/>
      <c r="X28" s="820"/>
      <c r="Y28" s="820"/>
      <c r="Z28" s="820"/>
      <c r="AA28" s="820"/>
    </row>
    <row r="29" spans="1:27" s="850" customFormat="1" ht="15.75" customHeight="1" thickBot="1" x14ac:dyDescent="0.3">
      <c r="A29" s="998" t="s">
        <v>519</v>
      </c>
      <c r="B29" s="998"/>
      <c r="C29" s="998"/>
      <c r="D29" s="998"/>
      <c r="E29" s="998"/>
      <c r="F29" s="998"/>
      <c r="G29" s="998"/>
      <c r="H29" s="998"/>
      <c r="I29" s="998"/>
      <c r="J29" s="998"/>
      <c r="K29" s="998"/>
      <c r="L29" s="998"/>
      <c r="M29" s="998"/>
      <c r="N29" s="998"/>
      <c r="O29" s="998"/>
      <c r="P29" s="847"/>
      <c r="Q29" s="847"/>
      <c r="R29" s="847"/>
      <c r="S29" s="847"/>
      <c r="T29" s="848"/>
      <c r="U29" s="848"/>
      <c r="V29" s="848"/>
      <c r="W29" s="848"/>
      <c r="X29" s="848"/>
      <c r="Y29" s="848"/>
      <c r="Z29" s="848"/>
      <c r="AA29" s="848"/>
    </row>
    <row r="30" spans="1:27" s="850" customFormat="1" ht="21.75" customHeight="1" thickBot="1" x14ac:dyDescent="0.3">
      <c r="A30" s="1000" t="s">
        <v>520</v>
      </c>
      <c r="B30" s="1000"/>
      <c r="C30" s="1000"/>
      <c r="D30" s="1000"/>
      <c r="E30" s="859"/>
      <c r="F30" s="859"/>
      <c r="G30" s="859"/>
      <c r="H30" s="859"/>
      <c r="I30" s="859"/>
      <c r="J30" s="859"/>
      <c r="K30" s="859"/>
      <c r="L30" s="859"/>
      <c r="M30" s="859"/>
      <c r="N30" s="859"/>
      <c r="O30" s="860"/>
      <c r="P30" s="847"/>
      <c r="Q30" s="847"/>
      <c r="R30" s="847"/>
      <c r="S30" s="847"/>
      <c r="T30" s="861"/>
      <c r="U30" s="848"/>
      <c r="V30" s="848"/>
      <c r="W30" s="848"/>
      <c r="X30" s="848"/>
      <c r="Y30" s="848"/>
      <c r="Z30" s="848"/>
      <c r="AA30" s="848"/>
    </row>
    <row r="31" spans="1:27" ht="44.25" customHeight="1" x14ac:dyDescent="0.25">
      <c r="A31" s="862" t="s">
        <v>521</v>
      </c>
      <c r="B31" s="863" t="s">
        <v>522</v>
      </c>
      <c r="C31" s="864">
        <v>9197.6290140000001</v>
      </c>
      <c r="D31" s="864">
        <v>7531.1777399999992</v>
      </c>
      <c r="E31" s="864">
        <v>4584.0924980432819</v>
      </c>
      <c r="F31" s="864">
        <v>4981.9560045789931</v>
      </c>
      <c r="G31" s="864">
        <v>6362</v>
      </c>
      <c r="H31" s="864">
        <f>8115294.28456269/1000</f>
        <v>8115.2942845626903</v>
      </c>
      <c r="I31" s="864">
        <v>10343.546126356177</v>
      </c>
      <c r="J31" s="864">
        <v>10267.147130176336</v>
      </c>
      <c r="K31" s="864">
        <v>12379.963097802489</v>
      </c>
      <c r="L31" s="864">
        <v>12243.289351525349</v>
      </c>
      <c r="M31" s="864">
        <f>'Tabla 1.5-26'!Q13</f>
        <v>14837.70557194621</v>
      </c>
      <c r="N31" s="864" t="s">
        <v>478</v>
      </c>
      <c r="O31" s="854" t="s">
        <v>523</v>
      </c>
      <c r="P31"/>
      <c r="Q31"/>
      <c r="R31"/>
      <c r="S31"/>
      <c r="T31" s="820"/>
      <c r="U31" s="820"/>
      <c r="V31" s="820"/>
      <c r="W31" s="820"/>
      <c r="X31" s="820"/>
      <c r="Y31" s="820"/>
      <c r="Z31" s="820"/>
      <c r="AA31" s="820"/>
    </row>
    <row r="32" spans="1:27" ht="22.5" customHeight="1" x14ac:dyDescent="0.25">
      <c r="A32" s="865" t="s">
        <v>524</v>
      </c>
      <c r="B32" s="821" t="s">
        <v>525</v>
      </c>
      <c r="C32" s="818" t="s">
        <v>42</v>
      </c>
      <c r="D32" s="818" t="s">
        <v>42</v>
      </c>
      <c r="E32" s="818" t="s">
        <v>42</v>
      </c>
      <c r="F32" s="818" t="s">
        <v>42</v>
      </c>
      <c r="G32" s="836">
        <v>2057.77</v>
      </c>
      <c r="H32" s="836">
        <f>577012.514437315/1000</f>
        <v>577.01251443731508</v>
      </c>
      <c r="I32" s="866">
        <v>401</v>
      </c>
      <c r="J32" s="836">
        <v>0</v>
      </c>
      <c r="K32" s="836">
        <v>0</v>
      </c>
      <c r="L32" s="836">
        <v>0</v>
      </c>
      <c r="M32" s="867">
        <v>0</v>
      </c>
      <c r="N32" s="818" t="s">
        <v>478</v>
      </c>
      <c r="O32" s="829" t="s">
        <v>526</v>
      </c>
      <c r="P32"/>
      <c r="Q32"/>
      <c r="R32"/>
      <c r="S32"/>
      <c r="T32" s="820"/>
      <c r="U32" s="820"/>
      <c r="V32" s="820"/>
      <c r="W32" s="820"/>
      <c r="X32" s="820"/>
      <c r="Y32" s="820"/>
      <c r="Z32" s="820"/>
      <c r="AA32" s="820"/>
    </row>
    <row r="33" spans="1:27" ht="27" customHeight="1" x14ac:dyDescent="0.25">
      <c r="A33" s="813" t="s">
        <v>527</v>
      </c>
      <c r="B33" s="821" t="s">
        <v>528</v>
      </c>
      <c r="C33" s="818">
        <v>6641.7749999999996</v>
      </c>
      <c r="D33" s="818">
        <v>5760.2009999999991</v>
      </c>
      <c r="E33" s="818">
        <v>3013.9601339569817</v>
      </c>
      <c r="F33" s="833">
        <v>3278.6671307850584</v>
      </c>
      <c r="G33" s="868">
        <v>4291</v>
      </c>
      <c r="H33" s="868">
        <f>5176513.22580735/1000</f>
        <v>5176.51322580735</v>
      </c>
      <c r="I33" s="869">
        <v>6210.1106229095531</v>
      </c>
      <c r="J33" s="870">
        <v>2438.8094732452805</v>
      </c>
      <c r="K33" s="870">
        <v>2797.9129000000003</v>
      </c>
      <c r="L33" s="870">
        <v>2768.5761571681273</v>
      </c>
      <c r="M33" s="869">
        <f>'Tabla 1.5-26'!Q6</f>
        <v>4287.6804331368621</v>
      </c>
      <c r="N33" s="834" t="s">
        <v>478</v>
      </c>
      <c r="O33" s="1003" t="s">
        <v>523</v>
      </c>
      <c r="P33" s="72">
        <f>E33/E31</f>
        <v>0.65748239924117791</v>
      </c>
      <c r="Q33"/>
      <c r="R33"/>
      <c r="S33"/>
      <c r="T33" s="820"/>
      <c r="U33" s="820"/>
      <c r="V33" s="820"/>
      <c r="W33" s="820"/>
      <c r="X33" s="820"/>
      <c r="Y33" s="820"/>
      <c r="Z33" s="820"/>
      <c r="AA33" s="820"/>
    </row>
    <row r="34" spans="1:27" ht="30" customHeight="1" x14ac:dyDescent="0.25">
      <c r="A34" s="813" t="s">
        <v>529</v>
      </c>
      <c r="B34" s="821" t="s">
        <v>530</v>
      </c>
      <c r="C34" s="818">
        <v>706.65731999999991</v>
      </c>
      <c r="D34" s="818">
        <v>391.83699000000001</v>
      </c>
      <c r="E34" s="818">
        <v>278.50215575828827</v>
      </c>
      <c r="F34" s="818">
        <v>524.07330177120389</v>
      </c>
      <c r="G34" s="818">
        <v>640.1</v>
      </c>
      <c r="H34" s="818">
        <f>728553.763865252/1000</f>
        <v>728.55376386525199</v>
      </c>
      <c r="I34" s="818">
        <v>565.18875694591668</v>
      </c>
      <c r="J34" s="823">
        <v>856.96397259720823</v>
      </c>
      <c r="K34" s="823">
        <v>907.806658661151</v>
      </c>
      <c r="L34" s="823">
        <v>828.04600219422343</v>
      </c>
      <c r="M34" s="818">
        <f>'Tabla 1.5-26'!Q7</f>
        <v>623.6953632204328</v>
      </c>
      <c r="N34" s="818" t="s">
        <v>478</v>
      </c>
      <c r="O34" s="994"/>
      <c r="P34"/>
      <c r="Q34"/>
      <c r="R34"/>
      <c r="S34"/>
      <c r="T34" s="820"/>
      <c r="U34" s="820"/>
      <c r="V34" s="820"/>
      <c r="W34" s="820"/>
      <c r="X34" s="820"/>
      <c r="Y34" s="820"/>
      <c r="Z34" s="820"/>
      <c r="AA34" s="820"/>
    </row>
    <row r="35" spans="1:27" ht="43.5" customHeight="1" x14ac:dyDescent="0.25">
      <c r="A35" s="813" t="s">
        <v>531</v>
      </c>
      <c r="B35" s="821" t="s">
        <v>532</v>
      </c>
      <c r="C35" s="818">
        <v>603.35765000000004</v>
      </c>
      <c r="D35" s="818">
        <v>443.34755999999999</v>
      </c>
      <c r="E35" s="818">
        <v>514.24901932907915</v>
      </c>
      <c r="F35" s="818">
        <v>523.03914456976258</v>
      </c>
      <c r="G35" s="818">
        <v>451.64</v>
      </c>
      <c r="H35" s="818">
        <f>451839.154910544/1000</f>
        <v>451.83915491054398</v>
      </c>
      <c r="I35" s="818">
        <v>1089.1384327659839</v>
      </c>
      <c r="J35" s="823">
        <v>95.348334999999992</v>
      </c>
      <c r="K35" s="823">
        <v>73.886857000000006</v>
      </c>
      <c r="L35" s="823">
        <v>104.44105500000001</v>
      </c>
      <c r="M35" s="818">
        <f>'Tabla 1.5-26'!Q8</f>
        <v>85.406019999999998</v>
      </c>
      <c r="N35" s="818" t="s">
        <v>478</v>
      </c>
      <c r="O35" s="994"/>
      <c r="P35"/>
      <c r="Q35"/>
      <c r="R35"/>
      <c r="S35"/>
      <c r="T35" s="871"/>
      <c r="U35" s="820"/>
      <c r="V35" s="820"/>
      <c r="W35" s="820"/>
      <c r="X35" s="820"/>
      <c r="Y35" s="820"/>
      <c r="Z35" s="820"/>
      <c r="AA35" s="820"/>
    </row>
    <row r="36" spans="1:27" ht="33.75" customHeight="1" x14ac:dyDescent="0.25">
      <c r="A36" s="813" t="s">
        <v>533</v>
      </c>
      <c r="B36" s="821" t="s">
        <v>534</v>
      </c>
      <c r="C36" s="818">
        <v>687.18606999999997</v>
      </c>
      <c r="D36" s="818">
        <v>588.73829000000001</v>
      </c>
      <c r="E36" s="818">
        <v>509.18322032601753</v>
      </c>
      <c r="F36" s="818">
        <v>483.14605026868531</v>
      </c>
      <c r="G36" s="818">
        <v>625</v>
      </c>
      <c r="H36" s="818">
        <f>905349.572656268/1000</f>
        <v>905.34957265626804</v>
      </c>
      <c r="I36" s="818">
        <v>943.81579927700216</v>
      </c>
      <c r="J36" s="823">
        <v>5172.5064485135063</v>
      </c>
      <c r="K36" s="823">
        <v>6016.1130395830742</v>
      </c>
      <c r="L36" s="823">
        <v>6372.2572637730627</v>
      </c>
      <c r="M36" s="818">
        <f>'Tabla 1.5-26'!Q9</f>
        <v>6700.1275310673791</v>
      </c>
      <c r="N36" s="818" t="s">
        <v>478</v>
      </c>
      <c r="O36" s="994"/>
      <c r="P36"/>
      <c r="Q36">
        <v>76435</v>
      </c>
      <c r="R36">
        <v>97657.049999999988</v>
      </c>
      <c r="S36">
        <v>88888.071537815049</v>
      </c>
      <c r="T36" s="820"/>
      <c r="U36" s="820"/>
      <c r="V36" s="820"/>
      <c r="W36" s="820"/>
      <c r="X36" s="820"/>
      <c r="Y36" s="820"/>
      <c r="Z36" s="820"/>
      <c r="AA36" s="820"/>
    </row>
    <row r="37" spans="1:27" ht="29.25" customHeight="1" x14ac:dyDescent="0.25">
      <c r="A37" s="813" t="s">
        <v>535</v>
      </c>
      <c r="B37" s="821" t="s">
        <v>536</v>
      </c>
      <c r="C37" s="818">
        <v>93.784999999999997</v>
      </c>
      <c r="D37" s="818">
        <v>135.83573000000001</v>
      </c>
      <c r="E37" s="818">
        <v>159.98418153781506</v>
      </c>
      <c r="F37" s="818">
        <v>241.60870642039998</v>
      </c>
      <c r="G37" s="818">
        <v>221.01</v>
      </c>
      <c r="H37" s="818">
        <f>514047.751946/1000</f>
        <v>514.04775194599995</v>
      </c>
      <c r="I37" s="818">
        <v>813.969735001</v>
      </c>
      <c r="J37" s="823">
        <v>1351.780468004757</v>
      </c>
      <c r="K37" s="823">
        <v>2174.8533007217338</v>
      </c>
      <c r="L37" s="823">
        <v>1526.5334060473758</v>
      </c>
      <c r="M37" s="818">
        <f>'Tabla 1.5-26'!Q10</f>
        <v>2665.6630914708417</v>
      </c>
      <c r="N37" s="818" t="s">
        <v>478</v>
      </c>
      <c r="O37" s="994"/>
      <c r="P37"/>
      <c r="Q37">
        <v>93409.47</v>
      </c>
      <c r="R37">
        <v>45059.610000000008</v>
      </c>
      <c r="S37">
        <v>33362.566216332219</v>
      </c>
      <c r="T37" s="820"/>
      <c r="U37" s="820"/>
      <c r="V37" s="820"/>
      <c r="W37" s="820"/>
      <c r="X37" s="820"/>
      <c r="Y37" s="820"/>
      <c r="Z37" s="820"/>
      <c r="AA37" s="820"/>
    </row>
    <row r="38" spans="1:27" ht="30.75" customHeight="1" x14ac:dyDescent="0.25">
      <c r="A38" s="813" t="s">
        <v>537</v>
      </c>
      <c r="B38" s="821" t="s">
        <v>538</v>
      </c>
      <c r="C38" s="818">
        <v>213.52086</v>
      </c>
      <c r="D38" s="818">
        <v>29.212599999999998</v>
      </c>
      <c r="E38" s="818">
        <v>22.681190165908227</v>
      </c>
      <c r="F38" s="818">
        <v>52.546162107628227</v>
      </c>
      <c r="G38" s="818">
        <v>8.86</v>
      </c>
      <c r="H38" s="818">
        <f>169923.093227161/1000</f>
        <v>169.92309322716102</v>
      </c>
      <c r="I38" s="818">
        <v>540.54625723312517</v>
      </c>
      <c r="J38" s="823">
        <v>318.63843281558286</v>
      </c>
      <c r="K38" s="823">
        <v>222.70134183652843</v>
      </c>
      <c r="L38" s="823">
        <v>350.95646734255843</v>
      </c>
      <c r="M38" s="818">
        <f>'Tabla 1.5-26'!Q11</f>
        <v>313.54613305069392</v>
      </c>
      <c r="N38" s="818" t="s">
        <v>478</v>
      </c>
      <c r="O38" s="994"/>
      <c r="P38"/>
      <c r="Q38">
        <v>6095.6</v>
      </c>
      <c r="R38">
        <v>2170.96</v>
      </c>
      <c r="S38">
        <v>8945.0111223750173</v>
      </c>
      <c r="T38" s="820"/>
      <c r="U38" s="820"/>
      <c r="V38" s="820"/>
      <c r="W38" s="820"/>
      <c r="X38" s="820"/>
      <c r="Y38" s="820"/>
      <c r="Z38" s="820"/>
      <c r="AA38" s="820"/>
    </row>
    <row r="39" spans="1:27" ht="28.5" customHeight="1" x14ac:dyDescent="0.25">
      <c r="A39" s="813" t="s">
        <v>539</v>
      </c>
      <c r="B39" s="821" t="s">
        <v>540</v>
      </c>
      <c r="C39" s="818">
        <v>226.31347</v>
      </c>
      <c r="D39" s="818">
        <v>146.95961</v>
      </c>
      <c r="E39" s="818">
        <v>62.956566216332213</v>
      </c>
      <c r="F39" s="818">
        <v>87.034905059327514</v>
      </c>
      <c r="G39" s="818">
        <v>95</v>
      </c>
      <c r="H39" s="818">
        <f>112374.615910811/1000</f>
        <v>112.374615910811</v>
      </c>
      <c r="I39" s="818">
        <v>142.59962522231945</v>
      </c>
      <c r="J39" s="823">
        <v>33.1</v>
      </c>
      <c r="K39" s="823">
        <v>186.68899999999999</v>
      </c>
      <c r="L39" s="823">
        <v>292.47899999999998</v>
      </c>
      <c r="M39" s="818">
        <f>'Tabla 1.5-26'!Q12</f>
        <v>161.58699999999999</v>
      </c>
      <c r="N39" s="818" t="s">
        <v>478</v>
      </c>
      <c r="O39" s="994"/>
      <c r="P39"/>
      <c r="Q39"/>
      <c r="R39"/>
      <c r="S39"/>
      <c r="T39" s="820"/>
      <c r="U39" s="820"/>
      <c r="V39" s="820"/>
      <c r="W39" s="820"/>
      <c r="X39" s="820"/>
      <c r="Y39" s="820"/>
      <c r="Z39" s="820"/>
      <c r="AA39" s="820"/>
    </row>
    <row r="40" spans="1:27" ht="29.25" customHeight="1" x14ac:dyDescent="0.25">
      <c r="A40" s="813" t="s">
        <v>541</v>
      </c>
      <c r="B40" s="821" t="s">
        <v>542</v>
      </c>
      <c r="C40" s="818">
        <v>18.927044000000002</v>
      </c>
      <c r="D40" s="818">
        <v>3.7949999999999999</v>
      </c>
      <c r="E40" s="818">
        <v>11.835019630483886</v>
      </c>
      <c r="F40" s="818">
        <v>9.0730701507914944</v>
      </c>
      <c r="G40" s="818">
        <v>9.93</v>
      </c>
      <c r="H40" s="818">
        <f>21170.3829373727/1000</f>
        <v>21.170382937372697</v>
      </c>
      <c r="I40" s="818">
        <v>16.479478083540485</v>
      </c>
      <c r="J40" s="823" t="s">
        <v>543</v>
      </c>
      <c r="K40" s="823" t="s">
        <v>543</v>
      </c>
      <c r="L40" s="823" t="s">
        <v>543</v>
      </c>
      <c r="M40" s="823" t="s">
        <v>543</v>
      </c>
      <c r="N40" s="818" t="s">
        <v>478</v>
      </c>
      <c r="O40" s="994"/>
      <c r="P40"/>
      <c r="Q40"/>
      <c r="R40"/>
      <c r="S40"/>
      <c r="T40" s="820"/>
      <c r="U40" s="820"/>
      <c r="V40" s="820"/>
      <c r="W40" s="820"/>
      <c r="X40" s="820"/>
      <c r="Y40" s="820"/>
      <c r="Z40" s="820"/>
      <c r="AA40" s="820"/>
    </row>
    <row r="41" spans="1:27" ht="44.25" customHeight="1" x14ac:dyDescent="0.25">
      <c r="A41" s="872" t="s">
        <v>544</v>
      </c>
      <c r="B41" s="873" t="s">
        <v>545</v>
      </c>
      <c r="C41" s="874">
        <v>6.1066000000000003</v>
      </c>
      <c r="D41" s="874">
        <v>3.3309600000000001</v>
      </c>
      <c r="E41" s="874">
        <v>10.741011122375017</v>
      </c>
      <c r="F41" s="874">
        <v>15.139293827794882</v>
      </c>
      <c r="G41" s="874">
        <v>12.12</v>
      </c>
      <c r="H41" s="818">
        <f>66681.3233019267/1000</f>
        <v>66.68132330192671</v>
      </c>
      <c r="I41" s="874">
        <v>14.296418917737348</v>
      </c>
      <c r="J41" s="875" t="s">
        <v>543</v>
      </c>
      <c r="K41" s="823" t="s">
        <v>543</v>
      </c>
      <c r="L41" s="875" t="s">
        <v>543</v>
      </c>
      <c r="M41" s="875" t="s">
        <v>543</v>
      </c>
      <c r="N41" s="874" t="s">
        <v>478</v>
      </c>
      <c r="O41" s="994"/>
      <c r="P41"/>
      <c r="Q41"/>
      <c r="R41"/>
      <c r="S41"/>
      <c r="T41" s="871"/>
      <c r="U41" s="820"/>
      <c r="V41" s="820"/>
      <c r="W41" s="820"/>
      <c r="X41" s="820"/>
      <c r="Y41" s="820"/>
      <c r="Z41" s="820"/>
      <c r="AA41" s="820"/>
    </row>
    <row r="42" spans="1:27" ht="34.5" customHeight="1" thickBot="1" x14ac:dyDescent="0.3">
      <c r="A42" s="839" t="s">
        <v>546</v>
      </c>
      <c r="B42" s="840" t="s">
        <v>547</v>
      </c>
      <c r="C42" s="841">
        <v>0</v>
      </c>
      <c r="D42" s="841">
        <v>27.92</v>
      </c>
      <c r="E42" s="841">
        <v>0</v>
      </c>
      <c r="F42" s="841">
        <v>110.45043</v>
      </c>
      <c r="G42" s="841">
        <v>11.57</v>
      </c>
      <c r="H42" s="841">
        <f>27820/1000</f>
        <v>27.82</v>
      </c>
      <c r="I42" s="841">
        <v>7.4009999999999998</v>
      </c>
      <c r="J42" s="842" t="s">
        <v>543</v>
      </c>
      <c r="K42" s="842" t="s">
        <v>543</v>
      </c>
      <c r="L42" s="842" t="s">
        <v>543</v>
      </c>
      <c r="M42" s="842" t="s">
        <v>543</v>
      </c>
      <c r="N42" s="841" t="s">
        <v>478</v>
      </c>
      <c r="O42" s="995"/>
      <c r="P42"/>
      <c r="Q42"/>
      <c r="R42"/>
      <c r="S42"/>
      <c r="T42" s="820"/>
      <c r="U42" s="820"/>
      <c r="V42" s="820"/>
      <c r="W42" s="820"/>
      <c r="X42" s="820"/>
      <c r="Y42" s="820"/>
      <c r="Z42" s="820"/>
      <c r="AA42" s="820"/>
    </row>
    <row r="43" spans="1:27" ht="15" thickBot="1" x14ac:dyDescent="0.3">
      <c r="A43" s="1013" t="s">
        <v>548</v>
      </c>
      <c r="B43" s="1014"/>
      <c r="C43" s="1014"/>
      <c r="D43" s="1014"/>
      <c r="E43" s="1014"/>
      <c r="F43" s="1014"/>
      <c r="G43" s="1014"/>
      <c r="H43" s="1014"/>
      <c r="I43" s="1014"/>
      <c r="J43" s="1014"/>
      <c r="K43" s="1014"/>
      <c r="L43" s="1014"/>
      <c r="M43" s="1014"/>
      <c r="N43" s="1014"/>
      <c r="O43" s="1015"/>
      <c r="P43"/>
      <c r="Q43"/>
      <c r="R43"/>
      <c r="S43"/>
      <c r="T43" s="820"/>
      <c r="U43" s="820"/>
      <c r="V43" s="820"/>
      <c r="W43" s="820"/>
      <c r="X43" s="820"/>
      <c r="Y43" s="820"/>
      <c r="Z43" s="820"/>
      <c r="AA43" s="820"/>
    </row>
    <row r="44" spans="1:27" s="850" customFormat="1" ht="13.5" customHeight="1" thickBot="1" x14ac:dyDescent="0.3">
      <c r="A44" s="1001" t="s">
        <v>549</v>
      </c>
      <c r="B44" s="1001"/>
      <c r="C44" s="1001"/>
      <c r="D44" s="1001"/>
      <c r="E44" s="1001"/>
      <c r="F44" s="1001"/>
      <c r="G44" s="1001"/>
      <c r="H44" s="1001"/>
      <c r="I44" s="1001"/>
      <c r="J44" s="1001"/>
      <c r="K44" s="1001"/>
      <c r="L44" s="1001"/>
      <c r="M44" s="1001"/>
      <c r="N44" s="1001"/>
      <c r="O44" s="1001"/>
      <c r="P44" s="847"/>
      <c r="Q44" s="847"/>
      <c r="R44" s="847"/>
      <c r="S44" s="847"/>
      <c r="T44" s="848"/>
      <c r="U44" s="848"/>
      <c r="V44" s="848"/>
      <c r="W44" s="848"/>
      <c r="X44" s="848"/>
      <c r="Y44" s="848"/>
      <c r="Z44" s="848"/>
      <c r="AA44" s="848"/>
    </row>
    <row r="45" spans="1:27" ht="23.25" customHeight="1" x14ac:dyDescent="0.25">
      <c r="A45" s="851" t="s">
        <v>550</v>
      </c>
      <c r="B45" s="876" t="s">
        <v>551</v>
      </c>
      <c r="C45" s="853">
        <v>5511.3718200000003</v>
      </c>
      <c r="D45" s="853">
        <v>6179.2805760000001</v>
      </c>
      <c r="E45" s="853">
        <v>6380.54</v>
      </c>
      <c r="F45" s="853">
        <v>9224.68</v>
      </c>
      <c r="G45" s="853">
        <v>9161.7847679999995</v>
      </c>
      <c r="H45" s="853">
        <v>9157.2800000000007</v>
      </c>
      <c r="I45" s="877">
        <v>9750.7819514000003</v>
      </c>
      <c r="J45" s="877">
        <v>9418.1929999999993</v>
      </c>
      <c r="K45" s="877">
        <v>8016.5390000000007</v>
      </c>
      <c r="L45" s="877">
        <v>10027.709999999999</v>
      </c>
      <c r="M45" s="877">
        <v>10644.888999999999</v>
      </c>
      <c r="N45" s="853" t="s">
        <v>478</v>
      </c>
      <c r="O45" s="993" t="s">
        <v>552</v>
      </c>
      <c r="P45"/>
      <c r="Q45"/>
      <c r="R45"/>
      <c r="S45"/>
      <c r="T45" s="820"/>
      <c r="U45" s="820"/>
      <c r="V45" s="820"/>
      <c r="W45" s="820"/>
      <c r="X45" s="820"/>
      <c r="Y45" s="820"/>
      <c r="Z45" s="820"/>
      <c r="AA45" s="820"/>
    </row>
    <row r="46" spans="1:27" ht="20.25" customHeight="1" x14ac:dyDescent="0.25">
      <c r="A46" s="813" t="s">
        <v>553</v>
      </c>
      <c r="B46" s="878" t="s">
        <v>554</v>
      </c>
      <c r="C46" s="818">
        <v>9019.8510000000006</v>
      </c>
      <c r="D46" s="818">
        <v>8548.9279999999999</v>
      </c>
      <c r="E46" s="818">
        <v>9557.7430000000004</v>
      </c>
      <c r="F46" s="818">
        <v>9995.1139999999996</v>
      </c>
      <c r="G46" s="818">
        <v>10263.74</v>
      </c>
      <c r="H46" s="818">
        <v>10379.525</v>
      </c>
      <c r="I46" s="823">
        <v>10907.77</v>
      </c>
      <c r="J46" s="823">
        <v>11595.903</v>
      </c>
      <c r="K46" s="818">
        <v>10259.471</v>
      </c>
      <c r="L46" s="818">
        <v>12695.242</v>
      </c>
      <c r="M46" s="818">
        <v>12629.913</v>
      </c>
      <c r="N46" s="818" t="s">
        <v>478</v>
      </c>
      <c r="O46" s="994"/>
      <c r="P46"/>
      <c r="Q46"/>
      <c r="R46"/>
      <c r="S46"/>
      <c r="T46" s="820"/>
      <c r="U46" s="820"/>
      <c r="V46" s="820"/>
      <c r="W46" s="820"/>
      <c r="X46" s="820"/>
      <c r="Y46" s="820"/>
      <c r="Z46" s="820"/>
      <c r="AA46" s="820"/>
    </row>
    <row r="47" spans="1:27" ht="19.5" customHeight="1" x14ac:dyDescent="0.25">
      <c r="A47" s="813" t="s">
        <v>555</v>
      </c>
      <c r="B47" s="878" t="s">
        <v>556</v>
      </c>
      <c r="C47" s="818">
        <v>1134.5999999999999</v>
      </c>
      <c r="D47" s="818">
        <v>1245.7838555548315</v>
      </c>
      <c r="E47" s="818">
        <v>1140.1289999999999</v>
      </c>
      <c r="F47" s="818">
        <v>1155.8900000000001</v>
      </c>
      <c r="G47" s="818">
        <v>1485.971174</v>
      </c>
      <c r="H47" s="818">
        <v>1191.92</v>
      </c>
      <c r="I47" s="823">
        <v>1416.183</v>
      </c>
      <c r="J47" s="823">
        <v>1431.066</v>
      </c>
      <c r="K47" s="823">
        <v>1188.684</v>
      </c>
      <c r="L47" s="818">
        <v>873</v>
      </c>
      <c r="M47" s="818">
        <v>1860.2660000000001</v>
      </c>
      <c r="N47" s="818" t="s">
        <v>478</v>
      </c>
      <c r="O47" s="994"/>
      <c r="P47"/>
      <c r="Q47"/>
      <c r="R47"/>
      <c r="S47"/>
      <c r="T47" s="820"/>
      <c r="U47" s="820"/>
      <c r="V47" s="820"/>
      <c r="W47" s="820"/>
      <c r="X47" s="820"/>
      <c r="Y47" s="820"/>
      <c r="Z47" s="820"/>
      <c r="AA47" s="820"/>
    </row>
    <row r="48" spans="1:27" ht="21.75" customHeight="1" thickBot="1" x14ac:dyDescent="0.3">
      <c r="A48" s="839" t="s">
        <v>557</v>
      </c>
      <c r="B48" s="879" t="s">
        <v>558</v>
      </c>
      <c r="C48" s="841">
        <v>9084.8809999999994</v>
      </c>
      <c r="D48" s="841">
        <v>8634.5168555548316</v>
      </c>
      <c r="E48" s="841">
        <v>9460.6129999999994</v>
      </c>
      <c r="F48" s="841">
        <v>9984.99</v>
      </c>
      <c r="G48" s="841">
        <v>9776</v>
      </c>
      <c r="H48" s="841">
        <v>10432.74</v>
      </c>
      <c r="I48" s="842">
        <v>11129.527</v>
      </c>
      <c r="J48" s="842">
        <v>11150.367</v>
      </c>
      <c r="K48" s="842">
        <v>9992.9889999999996</v>
      </c>
      <c r="L48" s="880">
        <v>12517.136</v>
      </c>
      <c r="M48" s="841">
        <v>12811.058999999999</v>
      </c>
      <c r="N48" s="841" t="s">
        <v>478</v>
      </c>
      <c r="O48" s="995"/>
      <c r="P48"/>
      <c r="Q48"/>
      <c r="R48"/>
      <c r="S48"/>
      <c r="T48" s="820"/>
      <c r="U48" s="820"/>
      <c r="V48" s="820"/>
      <c r="W48" s="820"/>
      <c r="X48" s="820"/>
      <c r="Y48" s="820"/>
      <c r="Z48" s="820"/>
      <c r="AA48" s="820"/>
    </row>
    <row r="49" spans="1:28" s="850" customFormat="1" ht="13.5" customHeight="1" x14ac:dyDescent="0.25">
      <c r="A49" s="1001" t="s">
        <v>559</v>
      </c>
      <c r="B49" s="1001"/>
      <c r="C49" s="1001"/>
      <c r="D49" s="1001"/>
      <c r="E49" s="1001"/>
      <c r="F49" s="1001"/>
      <c r="G49" s="1001"/>
      <c r="H49" s="1001"/>
      <c r="I49" s="1001"/>
      <c r="J49" s="1001"/>
      <c r="K49" s="1001"/>
      <c r="L49" s="1001"/>
      <c r="M49" s="1001"/>
      <c r="N49" s="1001"/>
      <c r="O49" s="1001"/>
      <c r="P49" s="847"/>
      <c r="Q49" s="847"/>
      <c r="R49" s="847"/>
      <c r="S49" s="847"/>
      <c r="T49" s="881"/>
      <c r="U49" s="848"/>
      <c r="V49" s="848"/>
      <c r="W49" s="848"/>
      <c r="X49" s="848"/>
      <c r="Y49" s="848"/>
      <c r="Z49" s="848"/>
      <c r="AA49" s="848"/>
    </row>
    <row r="50" spans="1:28" ht="33" customHeight="1" x14ac:dyDescent="0.25">
      <c r="A50" s="813" t="s">
        <v>560</v>
      </c>
      <c r="B50" s="821" t="s">
        <v>1213</v>
      </c>
      <c r="C50" s="818">
        <v>334.39690258331996</v>
      </c>
      <c r="D50" s="818">
        <v>321.60000000000002</v>
      </c>
      <c r="E50" s="818">
        <v>345</v>
      </c>
      <c r="F50" s="818">
        <v>339.75200000000001</v>
      </c>
      <c r="G50" s="882">
        <f>313652.22/1000</f>
        <v>313.65222</v>
      </c>
      <c r="H50" s="883">
        <f>313356.59/1000</f>
        <v>313.35659000000004</v>
      </c>
      <c r="I50" s="884">
        <v>330.88088880384691</v>
      </c>
      <c r="J50" s="883">
        <v>329.60988999999995</v>
      </c>
      <c r="K50" s="883">
        <v>368.35899331298003</v>
      </c>
      <c r="L50" s="883">
        <v>401.03862668587738</v>
      </c>
      <c r="M50" s="883">
        <v>372.00393000000003</v>
      </c>
      <c r="N50" s="885" t="s">
        <v>478</v>
      </c>
      <c r="O50" s="886" t="s">
        <v>561</v>
      </c>
      <c r="P50"/>
      <c r="Q50"/>
      <c r="R50"/>
      <c r="S50"/>
      <c r="T50" s="820"/>
      <c r="U50" s="820"/>
      <c r="V50" s="820"/>
      <c r="W50" s="820"/>
      <c r="X50" s="820"/>
      <c r="Y50" s="820"/>
      <c r="Z50" s="820"/>
      <c r="AA50" s="820"/>
    </row>
    <row r="51" spans="1:28" ht="27" x14ac:dyDescent="0.25">
      <c r="A51" s="813" t="s">
        <v>562</v>
      </c>
      <c r="B51" s="821" t="s">
        <v>1214</v>
      </c>
      <c r="C51" s="823">
        <v>2644.41</v>
      </c>
      <c r="D51" s="823">
        <v>3591.7629999999999</v>
      </c>
      <c r="E51" s="823">
        <v>3031.1342599999998</v>
      </c>
      <c r="F51" s="823">
        <v>3385.1019999999999</v>
      </c>
      <c r="G51" s="882">
        <f>3048367.43/1000</f>
        <v>3048.3674300000002</v>
      </c>
      <c r="H51" s="882">
        <v>2857946.47</v>
      </c>
      <c r="I51" s="887">
        <v>2790.9484699999998</v>
      </c>
      <c r="J51" s="887">
        <v>2774.3217239305109</v>
      </c>
      <c r="K51" s="883">
        <v>2877.0312122316518</v>
      </c>
      <c r="L51" s="883">
        <v>3177.00231977354</v>
      </c>
      <c r="M51" s="883">
        <v>2979.8659700000003</v>
      </c>
      <c r="N51" s="888" t="s">
        <v>478</v>
      </c>
      <c r="O51" s="886" t="s">
        <v>563</v>
      </c>
      <c r="P51"/>
      <c r="Q51"/>
      <c r="R51"/>
      <c r="S51"/>
      <c r="T51" s="889"/>
      <c r="U51" s="820"/>
      <c r="V51" s="820"/>
      <c r="W51" s="820"/>
      <c r="X51" s="820"/>
      <c r="Y51" s="820"/>
      <c r="Z51" s="820"/>
      <c r="AA51" s="820"/>
    </row>
    <row r="52" spans="1:28" ht="31.5" customHeight="1" x14ac:dyDescent="0.25">
      <c r="A52" s="813" t="s">
        <v>564</v>
      </c>
      <c r="B52" s="821" t="s">
        <v>1215</v>
      </c>
      <c r="C52" s="818">
        <v>22.509</v>
      </c>
      <c r="D52" s="818">
        <v>24.213922574599998</v>
      </c>
      <c r="E52" s="818" t="s">
        <v>42</v>
      </c>
      <c r="F52" s="818" t="s">
        <v>42</v>
      </c>
      <c r="G52" s="818" t="s">
        <v>42</v>
      </c>
      <c r="H52" s="875">
        <v>14.45913</v>
      </c>
      <c r="I52" s="875">
        <v>13.973551496281868</v>
      </c>
      <c r="J52" s="875">
        <v>15.986691053275848</v>
      </c>
      <c r="K52" s="875">
        <v>15.013727005359257</v>
      </c>
      <c r="L52" s="875">
        <v>14.198784953720887</v>
      </c>
      <c r="M52" s="875">
        <v>18.878889999999998</v>
      </c>
      <c r="N52" s="874" t="s">
        <v>478</v>
      </c>
      <c r="O52" s="1003" t="s">
        <v>561</v>
      </c>
      <c r="P52"/>
      <c r="Q52"/>
      <c r="R52"/>
      <c r="S52"/>
      <c r="T52" s="1009"/>
      <c r="U52" s="1009"/>
      <c r="V52" s="1009"/>
      <c r="W52" s="1009"/>
      <c r="X52" s="1009"/>
      <c r="Y52" s="1009"/>
      <c r="Z52" s="890"/>
      <c r="AA52" s="820"/>
    </row>
    <row r="53" spans="1:28" ht="21" customHeight="1" x14ac:dyDescent="0.25">
      <c r="A53" s="813" t="s">
        <v>565</v>
      </c>
      <c r="B53" s="821" t="s">
        <v>1216</v>
      </c>
      <c r="C53" s="818">
        <v>109.92</v>
      </c>
      <c r="D53" s="818">
        <v>127.4</v>
      </c>
      <c r="E53" s="818">
        <v>97.468000000000004</v>
      </c>
      <c r="F53" s="818">
        <v>98.986999999999995</v>
      </c>
      <c r="G53" s="818">
        <v>141.76</v>
      </c>
      <c r="H53" s="818">
        <v>117.434</v>
      </c>
      <c r="I53" s="818">
        <v>109.48699999999999</v>
      </c>
      <c r="J53" s="818">
        <v>148.499</v>
      </c>
      <c r="K53" s="818">
        <v>140.971</v>
      </c>
      <c r="L53" s="818">
        <v>168.16165144693645</v>
      </c>
      <c r="M53" s="818">
        <v>161.47</v>
      </c>
      <c r="N53" s="818" t="s">
        <v>478</v>
      </c>
      <c r="O53" s="1012"/>
      <c r="P53"/>
      <c r="Q53"/>
      <c r="R53"/>
      <c r="S53"/>
      <c r="T53" s="890"/>
      <c r="U53" s="890"/>
      <c r="V53" s="890"/>
      <c r="W53" s="890"/>
      <c r="X53" s="890"/>
      <c r="Y53" s="890"/>
      <c r="Z53" s="890"/>
      <c r="AA53" s="820"/>
    </row>
    <row r="54" spans="1:28" ht="39" customHeight="1" x14ac:dyDescent="0.25">
      <c r="A54" s="813" t="s">
        <v>566</v>
      </c>
      <c r="B54" s="821" t="s">
        <v>1217</v>
      </c>
      <c r="C54" s="818">
        <v>2585.98</v>
      </c>
      <c r="D54" s="818">
        <v>3521.2930000000001</v>
      </c>
      <c r="E54" s="818">
        <v>2973.5427100000002</v>
      </c>
      <c r="F54" s="818">
        <v>2942.7647900000002</v>
      </c>
      <c r="G54" s="818">
        <v>2994.48</v>
      </c>
      <c r="H54" s="818">
        <v>2797.9974300000003</v>
      </c>
      <c r="I54" s="818">
        <v>2739.0162727951256</v>
      </c>
      <c r="J54" s="818">
        <v>2731.5830763387626</v>
      </c>
      <c r="K54" s="818">
        <v>2834.8111413440251</v>
      </c>
      <c r="L54" s="818">
        <v>3151.6257599957321</v>
      </c>
      <c r="M54" s="818">
        <v>2897.5734900000002</v>
      </c>
      <c r="N54" s="818" t="s">
        <v>478</v>
      </c>
      <c r="O54" s="829" t="s">
        <v>567</v>
      </c>
      <c r="P54"/>
      <c r="Q54"/>
      <c r="R54"/>
      <c r="S54"/>
      <c r="T54" s="1009"/>
      <c r="U54" s="1009"/>
      <c r="V54" s="1009"/>
      <c r="W54" s="1009"/>
      <c r="X54" s="1009"/>
      <c r="Y54" s="1009"/>
      <c r="Z54" s="891"/>
      <c r="AA54" s="891"/>
      <c r="AB54" s="892"/>
    </row>
    <row r="55" spans="1:28" ht="36" customHeight="1" thickBot="1" x14ac:dyDescent="0.3">
      <c r="A55" s="839" t="s">
        <v>568</v>
      </c>
      <c r="B55" s="840" t="s">
        <v>1218</v>
      </c>
      <c r="C55" s="841">
        <v>12.78</v>
      </c>
      <c r="D55" s="841">
        <v>2.9</v>
      </c>
      <c r="E55" s="841">
        <v>7.1920000000000002</v>
      </c>
      <c r="F55" s="841" t="s">
        <v>42</v>
      </c>
      <c r="G55" s="841">
        <v>10.5</v>
      </c>
      <c r="H55" s="841">
        <v>2.806</v>
      </c>
      <c r="I55" s="841">
        <v>6.287999015976852</v>
      </c>
      <c r="J55" s="841">
        <v>3.4104502566310066</v>
      </c>
      <c r="K55" s="841">
        <v>5.2220000000000004</v>
      </c>
      <c r="L55" s="841">
        <v>14.717799656454666</v>
      </c>
      <c r="M55" s="841">
        <v>2.0681500000000002</v>
      </c>
      <c r="N55" s="841" t="s">
        <v>478</v>
      </c>
      <c r="O55" s="858" t="s">
        <v>561</v>
      </c>
      <c r="P55"/>
      <c r="Q55"/>
      <c r="R55"/>
      <c r="S55"/>
      <c r="T55" s="1009"/>
      <c r="U55" s="1009"/>
      <c r="V55" s="820"/>
      <c r="W55" s="820"/>
      <c r="X55" s="820"/>
      <c r="Y55" s="820"/>
      <c r="Z55" s="820"/>
      <c r="AA55" s="820"/>
    </row>
    <row r="56" spans="1:28" s="850" customFormat="1" ht="16.5" customHeight="1" thickBot="1" x14ac:dyDescent="0.3">
      <c r="A56" s="998" t="s">
        <v>569</v>
      </c>
      <c r="B56" s="998"/>
      <c r="C56" s="998"/>
      <c r="D56" s="998"/>
      <c r="E56" s="998"/>
      <c r="F56" s="998"/>
      <c r="G56" s="998"/>
      <c r="H56" s="998"/>
      <c r="I56" s="998"/>
      <c r="J56" s="998"/>
      <c r="K56" s="998"/>
      <c r="L56" s="998"/>
      <c r="M56" s="998"/>
      <c r="N56" s="998"/>
      <c r="O56" s="998"/>
      <c r="P56" s="847"/>
      <c r="Q56" s="847"/>
      <c r="R56" s="847"/>
      <c r="S56" s="847"/>
      <c r="T56" s="848"/>
      <c r="U56" s="848"/>
      <c r="V56" s="848"/>
      <c r="W56" s="848"/>
      <c r="X56" s="848"/>
      <c r="Y56" s="848"/>
      <c r="Z56" s="848"/>
      <c r="AA56" s="848"/>
    </row>
    <row r="57" spans="1:28" ht="23.25" customHeight="1" x14ac:dyDescent="0.25">
      <c r="A57" s="872" t="s">
        <v>570</v>
      </c>
      <c r="B57" s="893" t="s">
        <v>571</v>
      </c>
      <c r="C57" s="874">
        <v>163.71</v>
      </c>
      <c r="D57" s="874">
        <v>228.07</v>
      </c>
      <c r="E57" s="874">
        <v>270.22000000000003</v>
      </c>
      <c r="F57" s="894">
        <v>278.14</v>
      </c>
      <c r="G57" s="895">
        <v>290.49</v>
      </c>
      <c r="H57" s="895">
        <v>302.14</v>
      </c>
      <c r="I57" s="895">
        <v>310.49</v>
      </c>
      <c r="J57" s="895">
        <v>309.64599999999996</v>
      </c>
      <c r="K57" s="895">
        <v>346</v>
      </c>
      <c r="L57" s="895">
        <v>351.15000000000003</v>
      </c>
      <c r="M57" s="895">
        <v>335.68</v>
      </c>
      <c r="N57" s="874" t="s">
        <v>478</v>
      </c>
      <c r="O57" s="1004" t="s">
        <v>572</v>
      </c>
      <c r="P57"/>
      <c r="Q57"/>
      <c r="R57"/>
      <c r="S57"/>
      <c r="T57" s="896"/>
      <c r="U57" s="820"/>
      <c r="V57" s="820"/>
      <c r="W57" s="820"/>
      <c r="X57" s="820"/>
      <c r="Y57" s="820"/>
      <c r="Z57" s="820"/>
      <c r="AA57" s="820"/>
    </row>
    <row r="58" spans="1:28" ht="24" customHeight="1" thickBot="1" x14ac:dyDescent="0.3">
      <c r="A58" s="813" t="s">
        <v>573</v>
      </c>
      <c r="B58" s="878" t="s">
        <v>574</v>
      </c>
      <c r="C58" s="818">
        <v>333.38099999999997</v>
      </c>
      <c r="D58" s="874">
        <v>267</v>
      </c>
      <c r="E58" s="874">
        <v>303.589</v>
      </c>
      <c r="F58" s="874">
        <v>339.35700000000003</v>
      </c>
      <c r="G58" s="874">
        <v>328.83800000000002</v>
      </c>
      <c r="H58" s="874">
        <v>363.221</v>
      </c>
      <c r="I58" s="874">
        <v>330.86</v>
      </c>
      <c r="J58" s="874">
        <v>346.56342000000001</v>
      </c>
      <c r="K58" s="874">
        <v>361.93</v>
      </c>
      <c r="L58" s="874">
        <v>412.39400000000001</v>
      </c>
      <c r="M58" s="874">
        <v>309.26499999999999</v>
      </c>
      <c r="N58" s="818" t="s">
        <v>478</v>
      </c>
      <c r="O58" s="1005"/>
      <c r="P58"/>
      <c r="Q58"/>
      <c r="R58"/>
      <c r="S58"/>
      <c r="T58" s="896"/>
      <c r="U58" s="820"/>
      <c r="V58" s="820"/>
      <c r="W58" s="820"/>
      <c r="X58" s="820"/>
      <c r="Y58" s="820"/>
      <c r="Z58" s="820"/>
      <c r="AA58" s="820"/>
    </row>
    <row r="59" spans="1:28" s="850" customFormat="1" ht="18" customHeight="1" thickBot="1" x14ac:dyDescent="0.3">
      <c r="A59" s="999" t="s">
        <v>575</v>
      </c>
      <c r="B59" s="999"/>
      <c r="C59" s="999"/>
      <c r="D59" s="999"/>
      <c r="E59" s="999"/>
      <c r="F59" s="999"/>
      <c r="G59" s="999"/>
      <c r="H59" s="999"/>
      <c r="I59" s="999"/>
      <c r="J59" s="999"/>
      <c r="K59" s="999"/>
      <c r="L59" s="999"/>
      <c r="M59" s="999"/>
      <c r="N59" s="999"/>
      <c r="O59" s="999"/>
      <c r="P59" s="847"/>
      <c r="Q59" s="847"/>
      <c r="R59" s="847"/>
      <c r="S59" s="847"/>
      <c r="T59" s="848"/>
      <c r="U59" s="848"/>
      <c r="V59" s="848"/>
      <c r="W59" s="848"/>
      <c r="X59" s="848"/>
      <c r="Y59" s="848"/>
      <c r="Z59" s="848"/>
      <c r="AA59" s="848"/>
    </row>
    <row r="60" spans="1:28" ht="18" x14ac:dyDescent="0.25">
      <c r="A60" s="813" t="s">
        <v>576</v>
      </c>
      <c r="B60" s="878" t="s">
        <v>577</v>
      </c>
      <c r="C60" s="818">
        <v>2129</v>
      </c>
      <c r="D60" s="818">
        <v>3171</v>
      </c>
      <c r="E60" s="818">
        <v>2821</v>
      </c>
      <c r="F60" s="818">
        <v>1099</v>
      </c>
      <c r="G60" s="818">
        <v>5399.7272394375987</v>
      </c>
      <c r="H60" s="818">
        <v>1334.2969616162</v>
      </c>
      <c r="I60" s="823">
        <v>1462.044838696665</v>
      </c>
      <c r="J60" s="823">
        <v>1592.3151115666003</v>
      </c>
      <c r="K60" s="818">
        <v>2069</v>
      </c>
      <c r="L60" s="818">
        <v>2358.4497861693803</v>
      </c>
      <c r="M60" s="828">
        <v>3049.2526267259996</v>
      </c>
      <c r="N60" s="818" t="s">
        <v>478</v>
      </c>
      <c r="O60" s="993" t="s">
        <v>578</v>
      </c>
      <c r="P60"/>
      <c r="Q60"/>
      <c r="R60"/>
      <c r="S60"/>
      <c r="T60" s="820"/>
      <c r="U60" s="820"/>
      <c r="V60" s="820"/>
      <c r="W60" s="820"/>
      <c r="X60" s="820"/>
      <c r="Y60" s="820"/>
      <c r="Z60" s="820"/>
      <c r="AA60" s="820"/>
    </row>
    <row r="61" spans="1:28" ht="18" x14ac:dyDescent="0.25">
      <c r="A61" s="813" t="s">
        <v>579</v>
      </c>
      <c r="B61" s="878" t="s">
        <v>580</v>
      </c>
      <c r="C61" s="818">
        <v>14183</v>
      </c>
      <c r="D61" s="818">
        <v>17716</v>
      </c>
      <c r="E61" s="818">
        <v>18803</v>
      </c>
      <c r="F61" s="818">
        <v>19096</v>
      </c>
      <c r="G61" s="818">
        <v>11241.69</v>
      </c>
      <c r="H61" s="818">
        <v>16079.2547643</v>
      </c>
      <c r="I61" s="823">
        <v>18973.744067</v>
      </c>
      <c r="J61" s="823">
        <v>19392.269498000001</v>
      </c>
      <c r="K61" s="818">
        <v>18445</v>
      </c>
      <c r="L61" s="818">
        <v>19756.112085978701</v>
      </c>
      <c r="M61" s="828">
        <v>14540.813354618003</v>
      </c>
      <c r="N61" s="818" t="s">
        <v>478</v>
      </c>
      <c r="O61" s="994"/>
      <c r="P61"/>
      <c r="Q61"/>
      <c r="R61"/>
      <c r="S61"/>
      <c r="T61" s="820"/>
      <c r="U61" s="820"/>
      <c r="V61" s="820"/>
      <c r="W61" s="820"/>
      <c r="X61" s="820"/>
      <c r="Y61" s="820"/>
      <c r="Z61" s="820"/>
      <c r="AA61" s="820"/>
    </row>
    <row r="62" spans="1:28" ht="18" x14ac:dyDescent="0.25">
      <c r="A62" s="813" t="s">
        <v>581</v>
      </c>
      <c r="B62" s="878" t="s">
        <v>582</v>
      </c>
      <c r="C62" s="818">
        <v>16312</v>
      </c>
      <c r="D62" s="818">
        <v>20917</v>
      </c>
      <c r="E62" s="818">
        <v>21624</v>
      </c>
      <c r="F62" s="818">
        <v>20195</v>
      </c>
      <c r="G62" s="818">
        <v>16641.4172394376</v>
      </c>
      <c r="H62" s="818">
        <v>17413.551725916201</v>
      </c>
      <c r="I62" s="823">
        <v>20435.788905696663</v>
      </c>
      <c r="J62" s="823">
        <v>20984.584609566602</v>
      </c>
      <c r="K62" s="818">
        <v>20513</v>
      </c>
      <c r="L62" s="818">
        <v>22114.561872148082</v>
      </c>
      <c r="M62" s="828">
        <v>17590.065981344003</v>
      </c>
      <c r="N62" s="818" t="s">
        <v>478</v>
      </c>
      <c r="O62" s="994"/>
      <c r="P62"/>
      <c r="Q62"/>
      <c r="R62"/>
      <c r="S62"/>
      <c r="T62" s="820"/>
      <c r="U62" s="820"/>
      <c r="V62" s="820"/>
      <c r="W62" s="820"/>
      <c r="X62" s="820"/>
      <c r="Y62" s="820"/>
      <c r="Z62" s="820"/>
      <c r="AA62" s="820"/>
    </row>
    <row r="63" spans="1:28" ht="18" x14ac:dyDescent="0.25">
      <c r="A63" s="813" t="s">
        <v>583</v>
      </c>
      <c r="B63" s="878" t="s">
        <v>584</v>
      </c>
      <c r="C63" s="818">
        <v>18447</v>
      </c>
      <c r="D63" s="818">
        <v>23447</v>
      </c>
      <c r="E63" s="818">
        <v>22495</v>
      </c>
      <c r="F63" s="818">
        <v>21170</v>
      </c>
      <c r="G63" s="818">
        <v>17512</v>
      </c>
      <c r="H63" s="818">
        <v>18178.613000000001</v>
      </c>
      <c r="I63" s="823">
        <v>21280.246999999999</v>
      </c>
      <c r="J63" s="823">
        <v>21611.93613434787</v>
      </c>
      <c r="K63" s="818">
        <v>21110</v>
      </c>
      <c r="L63" s="818">
        <v>22474.446</v>
      </c>
      <c r="M63" s="828">
        <v>17840.47292</v>
      </c>
      <c r="N63" s="818" t="s">
        <v>478</v>
      </c>
      <c r="O63" s="994"/>
      <c r="P63"/>
      <c r="Q63"/>
      <c r="R63"/>
      <c r="S63"/>
      <c r="T63" s="820"/>
      <c r="U63" s="820"/>
      <c r="V63" s="820"/>
      <c r="W63" s="820"/>
      <c r="X63" s="820"/>
      <c r="Y63" s="820"/>
      <c r="Z63" s="820"/>
      <c r="AA63" s="820"/>
    </row>
    <row r="64" spans="1:28" x14ac:dyDescent="0.25">
      <c r="A64" s="813" t="s">
        <v>585</v>
      </c>
      <c r="B64" s="878" t="s">
        <v>586</v>
      </c>
      <c r="C64" s="818">
        <v>32</v>
      </c>
      <c r="D64" s="818">
        <v>34</v>
      </c>
      <c r="E64" s="818">
        <v>34</v>
      </c>
      <c r="F64" s="818">
        <v>35</v>
      </c>
      <c r="G64" s="818">
        <v>36</v>
      </c>
      <c r="H64" s="818">
        <v>39</v>
      </c>
      <c r="I64" s="823">
        <v>41</v>
      </c>
      <c r="J64" s="823">
        <v>40</v>
      </c>
      <c r="K64" s="818">
        <v>37</v>
      </c>
      <c r="L64" s="818">
        <v>35</v>
      </c>
      <c r="M64" s="828">
        <v>0.35</v>
      </c>
      <c r="N64" s="818" t="s">
        <v>587</v>
      </c>
      <c r="O64" s="994"/>
      <c r="P64"/>
      <c r="Q64"/>
      <c r="R64"/>
      <c r="S64"/>
      <c r="T64" s="820"/>
      <c r="U64" s="820"/>
      <c r="V64" s="820"/>
      <c r="W64" s="820"/>
      <c r="X64" s="820"/>
      <c r="Y64" s="820"/>
      <c r="Z64" s="820"/>
      <c r="AA64" s="820"/>
    </row>
    <row r="65" spans="1:27" x14ac:dyDescent="0.25">
      <c r="A65" s="813" t="s">
        <v>588</v>
      </c>
      <c r="B65" s="878" t="s">
        <v>589</v>
      </c>
      <c r="C65" s="818">
        <v>6</v>
      </c>
      <c r="D65" s="818">
        <v>7</v>
      </c>
      <c r="E65" s="818">
        <v>8</v>
      </c>
      <c r="F65" s="818" t="s">
        <v>42</v>
      </c>
      <c r="G65" s="818">
        <v>9</v>
      </c>
      <c r="H65" s="818">
        <v>10</v>
      </c>
      <c r="I65" s="823">
        <v>10</v>
      </c>
      <c r="J65" s="823">
        <v>10</v>
      </c>
      <c r="K65" s="818">
        <v>11</v>
      </c>
      <c r="L65" s="818">
        <v>11</v>
      </c>
      <c r="M65" s="828">
        <v>0.11</v>
      </c>
      <c r="N65" s="818" t="s">
        <v>587</v>
      </c>
      <c r="O65" s="994"/>
      <c r="P65"/>
      <c r="Q65"/>
      <c r="R65"/>
      <c r="S65"/>
      <c r="T65" s="820"/>
      <c r="U65" s="820"/>
      <c r="V65" s="820"/>
      <c r="W65" s="820"/>
      <c r="X65" s="820"/>
      <c r="Y65" s="820"/>
      <c r="Z65" s="820"/>
      <c r="AA65" s="820"/>
    </row>
    <row r="66" spans="1:27" x14ac:dyDescent="0.25">
      <c r="A66" s="813" t="s">
        <v>590</v>
      </c>
      <c r="B66" s="878" t="s">
        <v>591</v>
      </c>
      <c r="C66" s="818">
        <v>16862</v>
      </c>
      <c r="D66" s="818">
        <v>20272</v>
      </c>
      <c r="E66" s="818">
        <v>20094</v>
      </c>
      <c r="F66" s="818">
        <v>19266</v>
      </c>
      <c r="G66" s="818">
        <v>16014</v>
      </c>
      <c r="H66" s="818">
        <v>15937</v>
      </c>
      <c r="I66" s="823">
        <v>18749</v>
      </c>
      <c r="J66" s="823">
        <v>18862</v>
      </c>
      <c r="K66" s="818">
        <v>17554</v>
      </c>
      <c r="L66" s="818">
        <v>18681</v>
      </c>
      <c r="M66" s="828">
        <v>15464</v>
      </c>
      <c r="N66" s="818" t="s">
        <v>587</v>
      </c>
      <c r="O66" s="994"/>
      <c r="P66"/>
      <c r="Q66"/>
      <c r="R66"/>
      <c r="S66"/>
      <c r="T66" s="820"/>
      <c r="U66" s="820"/>
      <c r="V66" s="820"/>
      <c r="W66" s="820"/>
      <c r="X66" s="820"/>
      <c r="Y66" s="820"/>
      <c r="Z66" s="820"/>
      <c r="AA66" s="820"/>
    </row>
    <row r="67" spans="1:27" ht="18.75" thickBot="1" x14ac:dyDescent="0.3">
      <c r="A67" s="813" t="s">
        <v>592</v>
      </c>
      <c r="B67" s="878" t="s">
        <v>593</v>
      </c>
      <c r="C67" s="818" t="s">
        <v>42</v>
      </c>
      <c r="D67" s="818" t="s">
        <v>42</v>
      </c>
      <c r="E67" s="818" t="s">
        <v>42</v>
      </c>
      <c r="F67" s="841" t="s">
        <v>42</v>
      </c>
      <c r="G67" s="836" t="s">
        <v>42</v>
      </c>
      <c r="H67" s="836" t="s">
        <v>42</v>
      </c>
      <c r="I67" s="866" t="s">
        <v>42</v>
      </c>
      <c r="J67" s="866" t="s">
        <v>42</v>
      </c>
      <c r="K67" s="836" t="s">
        <v>42</v>
      </c>
      <c r="L67" s="836" t="s">
        <v>42</v>
      </c>
      <c r="M67" s="867" t="s">
        <v>42</v>
      </c>
      <c r="N67" s="818" t="s">
        <v>478</v>
      </c>
      <c r="O67" s="995"/>
      <c r="P67"/>
      <c r="Q67"/>
      <c r="R67"/>
      <c r="S67"/>
      <c r="T67" s="820"/>
      <c r="U67" s="820"/>
      <c r="V67" s="820"/>
      <c r="W67" s="820"/>
      <c r="X67" s="820"/>
      <c r="Y67" s="820"/>
      <c r="Z67" s="820"/>
      <c r="AA67" s="820"/>
    </row>
    <row r="68" spans="1:27" s="850" customFormat="1" ht="17.25" customHeight="1" thickBot="1" x14ac:dyDescent="0.3">
      <c r="A68" s="999" t="s">
        <v>594</v>
      </c>
      <c r="B68" s="999"/>
      <c r="C68" s="999"/>
      <c r="D68" s="999"/>
      <c r="E68" s="999"/>
      <c r="F68" s="999"/>
      <c r="G68" s="999"/>
      <c r="H68" s="999"/>
      <c r="I68" s="999"/>
      <c r="J68" s="999"/>
      <c r="K68" s="999"/>
      <c r="L68" s="999"/>
      <c r="M68" s="999"/>
      <c r="N68" s="999"/>
      <c r="O68" s="999"/>
      <c r="P68" s="847"/>
      <c r="Q68" s="847"/>
      <c r="R68" s="847"/>
      <c r="S68" s="847"/>
      <c r="T68" s="848"/>
      <c r="U68" s="848"/>
      <c r="V68" s="848"/>
      <c r="W68" s="848"/>
      <c r="X68" s="848"/>
      <c r="Y68" s="848"/>
      <c r="Z68" s="848"/>
      <c r="AA68" s="848"/>
    </row>
    <row r="69" spans="1:27" ht="18" x14ac:dyDescent="0.25">
      <c r="A69" s="872" t="s">
        <v>595</v>
      </c>
      <c r="B69" s="893" t="s">
        <v>596</v>
      </c>
      <c r="C69" s="874">
        <v>8981.4699999999993</v>
      </c>
      <c r="D69" s="897">
        <v>9181</v>
      </c>
      <c r="E69" s="874">
        <v>9129.9</v>
      </c>
      <c r="F69" s="874">
        <v>10593.111999999999</v>
      </c>
      <c r="G69" s="874">
        <v>10269.799999999999</v>
      </c>
      <c r="H69" s="874">
        <v>11360.261330000001</v>
      </c>
      <c r="I69" s="874">
        <v>11177</v>
      </c>
      <c r="J69" s="874">
        <v>11595.47</v>
      </c>
      <c r="K69" s="874">
        <v>10553.85</v>
      </c>
      <c r="L69" s="874">
        <v>11396.413</v>
      </c>
      <c r="M69" s="874">
        <v>10617.41</v>
      </c>
      <c r="N69" s="874" t="s">
        <v>478</v>
      </c>
      <c r="O69" s="993" t="s">
        <v>597</v>
      </c>
      <c r="P69"/>
      <c r="Q69"/>
      <c r="R69"/>
      <c r="S69"/>
      <c r="T69" s="820"/>
      <c r="U69" s="820"/>
      <c r="V69" s="820"/>
      <c r="W69" s="820"/>
      <c r="X69" s="820"/>
      <c r="Y69" s="820"/>
      <c r="Z69" s="820"/>
      <c r="AA69" s="820"/>
    </row>
    <row r="70" spans="1:27" x14ac:dyDescent="0.25">
      <c r="A70" s="872" t="s">
        <v>598</v>
      </c>
      <c r="B70" s="878" t="s">
        <v>1219</v>
      </c>
      <c r="C70" s="818">
        <v>5419.5959999999995</v>
      </c>
      <c r="D70" s="897">
        <v>4747</v>
      </c>
      <c r="E70" s="874">
        <v>4737.3500000000004</v>
      </c>
      <c r="F70" s="874">
        <v>4889.5600000000004</v>
      </c>
      <c r="G70" s="874">
        <v>4995.3999999999996</v>
      </c>
      <c r="H70" s="874">
        <v>5326.0599999999995</v>
      </c>
      <c r="I70" s="874">
        <v>5056</v>
      </c>
      <c r="J70" s="874">
        <v>4921</v>
      </c>
      <c r="K70" s="874">
        <v>5103.78</v>
      </c>
      <c r="L70" s="874">
        <v>5757.49</v>
      </c>
      <c r="M70" s="874">
        <v>5183.01</v>
      </c>
      <c r="N70" s="818" t="s">
        <v>478</v>
      </c>
      <c r="O70" s="994"/>
      <c r="P70"/>
      <c r="Q70"/>
      <c r="R70"/>
      <c r="S70"/>
      <c r="T70" s="820"/>
      <c r="U70" s="820"/>
      <c r="V70" s="820"/>
      <c r="W70" s="820"/>
      <c r="X70" s="820"/>
      <c r="Y70" s="820"/>
      <c r="Z70" s="820"/>
      <c r="AA70" s="820"/>
    </row>
    <row r="71" spans="1:27" x14ac:dyDescent="0.25">
      <c r="A71" s="872" t="s">
        <v>599</v>
      </c>
      <c r="B71" s="878" t="s">
        <v>1220</v>
      </c>
      <c r="C71" s="818">
        <v>5419.5959999999995</v>
      </c>
      <c r="D71" s="897">
        <v>4747</v>
      </c>
      <c r="E71" s="874">
        <v>4737.3500000000004</v>
      </c>
      <c r="F71" s="874">
        <v>4889.5600000000004</v>
      </c>
      <c r="G71" s="874">
        <v>4995.3999999999996</v>
      </c>
      <c r="H71" s="874">
        <v>5326.0599999999995</v>
      </c>
      <c r="I71" s="874">
        <v>5056</v>
      </c>
      <c r="J71" s="874">
        <v>4921</v>
      </c>
      <c r="K71" s="874">
        <v>5103.78</v>
      </c>
      <c r="L71" s="874">
        <v>5757.49</v>
      </c>
      <c r="M71" s="874">
        <v>5183.01</v>
      </c>
      <c r="N71" s="818" t="s">
        <v>478</v>
      </c>
      <c r="O71" s="994"/>
      <c r="P71"/>
      <c r="Q71"/>
      <c r="R71"/>
      <c r="S71"/>
      <c r="T71" s="820"/>
      <c r="U71" s="820"/>
      <c r="V71" s="820"/>
      <c r="W71" s="820"/>
      <c r="X71" s="820"/>
      <c r="Y71" s="820"/>
      <c r="Z71" s="820"/>
      <c r="AA71" s="820"/>
    </row>
    <row r="72" spans="1:27" ht="15" thickBot="1" x14ac:dyDescent="0.3">
      <c r="A72" s="898" t="s">
        <v>600</v>
      </c>
      <c r="B72" s="899" t="s">
        <v>1221</v>
      </c>
      <c r="C72" s="836">
        <v>1098.585</v>
      </c>
      <c r="D72" s="836">
        <v>1489</v>
      </c>
      <c r="E72" s="836">
        <v>1390.79</v>
      </c>
      <c r="F72" s="836">
        <v>1965.39</v>
      </c>
      <c r="G72" s="836">
        <v>1912.89</v>
      </c>
      <c r="H72" s="836">
        <v>1969.74</v>
      </c>
      <c r="I72" s="836">
        <v>1575</v>
      </c>
      <c r="J72" s="836">
        <v>2207.6999999999998</v>
      </c>
      <c r="K72" s="866">
        <v>3542.2200000000003</v>
      </c>
      <c r="L72" s="866">
        <v>3962.51</v>
      </c>
      <c r="M72" s="866">
        <v>2096.7600000000002</v>
      </c>
      <c r="N72" s="836" t="s">
        <v>478</v>
      </c>
      <c r="O72" s="995"/>
      <c r="P72"/>
      <c r="Q72"/>
      <c r="R72"/>
      <c r="S72"/>
      <c r="T72" s="820"/>
      <c r="U72" s="820"/>
      <c r="V72" s="820"/>
      <c r="W72" s="820"/>
      <c r="X72" s="820"/>
      <c r="Y72" s="820"/>
      <c r="Z72" s="820"/>
      <c r="AA72" s="820"/>
    </row>
    <row r="73" spans="1:27" ht="22.5" customHeight="1" thickBot="1" x14ac:dyDescent="0.3">
      <c r="A73" s="1011" t="s">
        <v>601</v>
      </c>
      <c r="B73" s="1011"/>
      <c r="C73" s="1011"/>
      <c r="D73" s="1011"/>
      <c r="E73" s="1011"/>
      <c r="F73" s="1011"/>
      <c r="G73" s="1011"/>
      <c r="H73" s="1011"/>
      <c r="I73" s="1011"/>
      <c r="J73" s="1011"/>
      <c r="K73" s="1011"/>
      <c r="L73" s="1011"/>
      <c r="M73" s="1011"/>
      <c r="N73" s="1011"/>
      <c r="O73" s="1011"/>
      <c r="P73"/>
      <c r="Q73"/>
      <c r="R73"/>
      <c r="S73"/>
      <c r="T73" s="820"/>
      <c r="U73" s="820"/>
      <c r="V73" s="820"/>
      <c r="W73" s="820"/>
      <c r="X73" s="820"/>
      <c r="Y73" s="820"/>
      <c r="Z73" s="820"/>
      <c r="AA73" s="820"/>
    </row>
    <row r="74" spans="1:27" s="850" customFormat="1" ht="13.5" customHeight="1" thickBot="1" x14ac:dyDescent="0.3">
      <c r="A74" s="999" t="s">
        <v>602</v>
      </c>
      <c r="B74" s="999"/>
      <c r="C74" s="999"/>
      <c r="D74" s="999"/>
      <c r="E74" s="999"/>
      <c r="F74" s="999"/>
      <c r="G74" s="999"/>
      <c r="H74" s="999"/>
      <c r="I74" s="999"/>
      <c r="J74" s="999"/>
      <c r="K74" s="999"/>
      <c r="L74" s="999"/>
      <c r="M74" s="999"/>
      <c r="N74" s="999"/>
      <c r="O74" s="999"/>
      <c r="P74" s="847"/>
      <c r="Q74" s="847"/>
      <c r="R74" s="847"/>
      <c r="S74" s="847"/>
      <c r="T74" s="848"/>
      <c r="U74" s="848"/>
      <c r="V74" s="848"/>
      <c r="W74" s="848"/>
      <c r="X74" s="848"/>
      <c r="Y74" s="848"/>
      <c r="Z74" s="848"/>
      <c r="AA74" s="848"/>
    </row>
    <row r="75" spans="1:27" x14ac:dyDescent="0.25">
      <c r="A75" s="851" t="s">
        <v>603</v>
      </c>
      <c r="B75" s="852" t="s">
        <v>604</v>
      </c>
      <c r="C75" s="900">
        <v>396486.44</v>
      </c>
      <c r="D75" s="901">
        <v>434721.4</v>
      </c>
      <c r="E75" s="901">
        <v>402005.37</v>
      </c>
      <c r="F75" s="901">
        <v>559151.94062000001</v>
      </c>
      <c r="G75" s="875">
        <v>370378.40399999998</v>
      </c>
      <c r="H75" s="875">
        <v>424242.78899999999</v>
      </c>
      <c r="I75" s="875">
        <v>486796.22499999998</v>
      </c>
      <c r="J75" s="875">
        <v>516176.85580000008</v>
      </c>
      <c r="K75" s="875">
        <v>593688.74800000002</v>
      </c>
      <c r="L75" s="875">
        <v>676812.28</v>
      </c>
      <c r="M75" s="874">
        <f>'Figura 1.5-16'!B7</f>
        <v>701583.04</v>
      </c>
      <c r="N75" s="818" t="s">
        <v>478</v>
      </c>
      <c r="O75" s="902" t="s">
        <v>605</v>
      </c>
      <c r="P75"/>
      <c r="Q75"/>
      <c r="R75"/>
      <c r="S75"/>
      <c r="T75" s="846"/>
      <c r="U75" s="820"/>
      <c r="V75" s="820"/>
      <c r="W75" s="820"/>
      <c r="X75" s="820"/>
      <c r="Y75" s="820"/>
      <c r="Z75" s="820"/>
      <c r="AA75" s="820"/>
    </row>
    <row r="76" spans="1:27" ht="29.25" customHeight="1" x14ac:dyDescent="0.25">
      <c r="A76" s="813" t="s">
        <v>606</v>
      </c>
      <c r="B76" s="878" t="s">
        <v>607</v>
      </c>
      <c r="C76" s="818">
        <v>150430.44</v>
      </c>
      <c r="D76" s="818">
        <v>156173.16999999998</v>
      </c>
      <c r="E76" s="818">
        <v>151991.4</v>
      </c>
      <c r="F76" s="818">
        <v>233948.35</v>
      </c>
      <c r="G76" s="823">
        <v>217466.68899999998</v>
      </c>
      <c r="H76" s="823">
        <v>234729.90900000004</v>
      </c>
      <c r="I76" s="823">
        <v>228542.17800000001</v>
      </c>
      <c r="J76" s="875">
        <v>245385.68500000003</v>
      </c>
      <c r="K76" s="875">
        <v>267990.50800000003</v>
      </c>
      <c r="L76" s="875">
        <v>255592.85199999998</v>
      </c>
      <c r="M76" s="874">
        <f>'Figura 1.5-17'!O6</f>
        <v>237282.85000000003</v>
      </c>
      <c r="N76" s="818" t="s">
        <v>478</v>
      </c>
      <c r="O76" s="829" t="s">
        <v>608</v>
      </c>
      <c r="P76"/>
      <c r="Q76"/>
      <c r="R76"/>
      <c r="S76"/>
      <c r="T76" s="820"/>
      <c r="U76" s="820"/>
      <c r="V76" s="820"/>
      <c r="W76" s="820"/>
      <c r="X76" s="820"/>
      <c r="Y76" s="820"/>
      <c r="Z76" s="820"/>
      <c r="AA76" s="820"/>
    </row>
    <row r="77" spans="1:27" ht="19.5" customHeight="1" x14ac:dyDescent="0.25">
      <c r="A77" s="872" t="s">
        <v>609</v>
      </c>
      <c r="B77" s="873" t="s">
        <v>610</v>
      </c>
      <c r="C77" s="874" t="s">
        <v>42</v>
      </c>
      <c r="D77" s="818" t="s">
        <v>42</v>
      </c>
      <c r="E77" s="818">
        <v>133609.07</v>
      </c>
      <c r="F77" s="818">
        <v>178473.89259999999</v>
      </c>
      <c r="G77" s="823">
        <v>106696.03799999999</v>
      </c>
      <c r="H77" s="823">
        <v>243224.74883999996</v>
      </c>
      <c r="I77" s="823">
        <v>110557.61999999998</v>
      </c>
      <c r="J77" s="823">
        <v>153854.31279999999</v>
      </c>
      <c r="K77" s="823">
        <v>169883.80000000002</v>
      </c>
      <c r="L77" s="823">
        <v>204523.785</v>
      </c>
      <c r="M77" s="818">
        <f>'Tabla 1.5-21'!B4</f>
        <v>243015.53</v>
      </c>
      <c r="N77" s="818" t="s">
        <v>478</v>
      </c>
      <c r="O77" s="1003" t="s">
        <v>611</v>
      </c>
      <c r="P77"/>
      <c r="Q77"/>
      <c r="R77"/>
      <c r="S77"/>
      <c r="T77" s="820"/>
      <c r="U77" s="820"/>
      <c r="V77" s="855"/>
      <c r="W77" s="820"/>
      <c r="X77" s="820"/>
      <c r="Y77" s="820"/>
      <c r="Z77" s="820"/>
      <c r="AA77" s="820"/>
    </row>
    <row r="78" spans="1:27" ht="22.5" customHeight="1" thickBot="1" x14ac:dyDescent="0.3">
      <c r="A78" s="839" t="s">
        <v>612</v>
      </c>
      <c r="B78" s="840" t="s">
        <v>613</v>
      </c>
      <c r="C78" s="841" t="s">
        <v>42</v>
      </c>
      <c r="D78" s="841" t="s">
        <v>42</v>
      </c>
      <c r="E78" s="841">
        <v>160201.42000000001</v>
      </c>
      <c r="F78" s="841">
        <v>234388.11840000001</v>
      </c>
      <c r="G78" s="842">
        <v>221256.49600000001</v>
      </c>
      <c r="H78" s="842">
        <v>245028.79200000002</v>
      </c>
      <c r="I78" s="842">
        <v>255278.875</v>
      </c>
      <c r="J78" s="842">
        <v>268108.15299999999</v>
      </c>
      <c r="K78" s="842">
        <v>278051.72799999994</v>
      </c>
      <c r="L78" s="842">
        <v>263778.255</v>
      </c>
      <c r="M78" s="841">
        <f>'Tabla 1.5-21'!C4</f>
        <v>233728.84000000003</v>
      </c>
      <c r="N78" s="841" t="s">
        <v>478</v>
      </c>
      <c r="O78" s="995"/>
      <c r="P78"/>
      <c r="Q78"/>
      <c r="R78"/>
      <c r="S78"/>
      <c r="T78" s="820"/>
      <c r="U78" s="820"/>
      <c r="V78" s="855"/>
      <c r="W78" s="820"/>
      <c r="X78" s="820"/>
      <c r="Y78" s="820"/>
      <c r="Z78" s="820"/>
      <c r="AA78" s="820"/>
    </row>
    <row r="79" spans="1:27" ht="22.5" customHeight="1" thickBot="1" x14ac:dyDescent="0.3">
      <c r="A79" s="1016" t="s">
        <v>614</v>
      </c>
      <c r="B79" s="1017"/>
      <c r="C79" s="1017"/>
      <c r="D79" s="1017"/>
      <c r="E79" s="1017"/>
      <c r="F79" s="1017"/>
      <c r="G79" s="1017"/>
      <c r="H79" s="1017"/>
      <c r="I79" s="1017"/>
      <c r="J79" s="1017"/>
      <c r="K79" s="1017"/>
      <c r="L79" s="1017"/>
      <c r="M79" s="1017"/>
      <c r="N79" s="1017"/>
      <c r="O79" s="1018"/>
      <c r="P79"/>
      <c r="Q79"/>
      <c r="R79"/>
      <c r="S79"/>
      <c r="T79" s="820"/>
      <c r="U79" s="820"/>
      <c r="V79" s="855"/>
      <c r="W79" s="820"/>
      <c r="X79" s="820"/>
      <c r="Y79" s="820"/>
      <c r="Z79" s="820"/>
      <c r="AA79" s="820"/>
    </row>
    <row r="80" spans="1:27" s="850" customFormat="1" ht="13.5" customHeight="1" thickBot="1" x14ac:dyDescent="0.3">
      <c r="A80" s="999" t="s">
        <v>615</v>
      </c>
      <c r="B80" s="999"/>
      <c r="C80" s="999"/>
      <c r="D80" s="999"/>
      <c r="E80" s="999"/>
      <c r="F80" s="999"/>
      <c r="G80" s="999"/>
      <c r="H80" s="999"/>
      <c r="I80" s="999"/>
      <c r="J80" s="999"/>
      <c r="K80" s="999"/>
      <c r="L80" s="999"/>
      <c r="M80" s="999"/>
      <c r="N80" s="999"/>
      <c r="O80" s="999"/>
      <c r="P80" s="847"/>
      <c r="Q80" s="847"/>
      <c r="R80" s="847"/>
      <c r="S80" s="847"/>
      <c r="T80" s="848"/>
      <c r="U80" s="848"/>
      <c r="V80" s="903"/>
      <c r="W80" s="848"/>
      <c r="X80" s="848"/>
      <c r="Y80" s="848"/>
      <c r="Z80" s="848"/>
      <c r="AA80" s="848"/>
    </row>
    <row r="81" spans="1:27" ht="29.25" customHeight="1" thickBot="1" x14ac:dyDescent="0.3">
      <c r="A81" s="813" t="s">
        <v>616</v>
      </c>
      <c r="B81" s="878" t="s">
        <v>617</v>
      </c>
      <c r="C81" s="818">
        <v>27395</v>
      </c>
      <c r="D81" s="818">
        <v>26660</v>
      </c>
      <c r="E81" s="818">
        <v>27475</v>
      </c>
      <c r="F81" s="818">
        <v>26492</v>
      </c>
      <c r="G81" s="818" t="e">
        <f>'Figura 1.5-14'!#REF!</f>
        <v>#REF!</v>
      </c>
      <c r="H81" s="818">
        <v>26892.12</v>
      </c>
      <c r="I81" s="818">
        <v>27168.93</v>
      </c>
      <c r="J81" s="818">
        <v>27794.878264000003</v>
      </c>
      <c r="K81" s="818">
        <v>26031</v>
      </c>
      <c r="L81" s="818">
        <v>28733.55</v>
      </c>
      <c r="M81" s="828">
        <v>28479.897104000003</v>
      </c>
      <c r="N81" s="818" t="s">
        <v>618</v>
      </c>
      <c r="O81" s="829" t="s">
        <v>619</v>
      </c>
      <c r="P81"/>
      <c r="Q81"/>
      <c r="R81"/>
      <c r="S81"/>
      <c r="T81" s="820"/>
      <c r="U81" s="820"/>
      <c r="V81" s="855"/>
      <c r="W81" s="820"/>
      <c r="X81" s="820"/>
      <c r="Y81" s="820"/>
      <c r="Z81" s="820"/>
      <c r="AA81" s="820"/>
    </row>
    <row r="82" spans="1:27" s="850" customFormat="1" ht="13.5" customHeight="1" thickBot="1" x14ac:dyDescent="0.3">
      <c r="A82" s="1001" t="s">
        <v>620</v>
      </c>
      <c r="B82" s="1001"/>
      <c r="C82" s="1001"/>
      <c r="D82" s="1001"/>
      <c r="E82" s="1001"/>
      <c r="F82" s="1001"/>
      <c r="G82" s="1001"/>
      <c r="H82" s="1001"/>
      <c r="I82" s="1001"/>
      <c r="J82" s="1001"/>
      <c r="K82" s="1001"/>
      <c r="L82" s="1001"/>
      <c r="M82" s="1001"/>
      <c r="N82" s="1001"/>
      <c r="O82" s="1001"/>
      <c r="P82" s="847"/>
      <c r="Q82" s="847"/>
      <c r="R82" s="847"/>
      <c r="S82" s="847"/>
      <c r="T82" s="848"/>
      <c r="U82" s="848"/>
      <c r="V82" s="903"/>
      <c r="W82" s="848"/>
      <c r="X82" s="848"/>
      <c r="Y82" s="848"/>
      <c r="Z82" s="848"/>
      <c r="AA82" s="848"/>
    </row>
    <row r="83" spans="1:27" x14ac:dyDescent="0.25">
      <c r="A83" s="851" t="s">
        <v>621</v>
      </c>
      <c r="B83" s="852" t="s">
        <v>622</v>
      </c>
      <c r="C83" s="853">
        <v>67184</v>
      </c>
      <c r="D83" s="853">
        <v>67407</v>
      </c>
      <c r="E83" s="853">
        <v>74283.02285899999</v>
      </c>
      <c r="F83" s="853">
        <v>83849.423510000008</v>
      </c>
      <c r="G83" s="853">
        <v>86972</v>
      </c>
      <c r="H83" s="853">
        <v>82426.436899000008</v>
      </c>
      <c r="I83" s="877">
        <v>85077.473482000001</v>
      </c>
      <c r="J83" s="877">
        <v>91162.684261000002</v>
      </c>
      <c r="K83" s="853">
        <v>92258</v>
      </c>
      <c r="L83" s="853">
        <v>106131.55303199998</v>
      </c>
      <c r="M83" s="904">
        <v>97762.601335000014</v>
      </c>
      <c r="N83" s="853" t="s">
        <v>478</v>
      </c>
      <c r="O83" s="993" t="s">
        <v>481</v>
      </c>
      <c r="P83"/>
      <c r="Q83"/>
      <c r="R83"/>
      <c r="S83"/>
      <c r="T83" s="820"/>
      <c r="U83" s="820"/>
      <c r="V83" s="820"/>
      <c r="W83" s="820"/>
      <c r="X83" s="820"/>
      <c r="Y83" s="820"/>
      <c r="Z83" s="820"/>
      <c r="AA83" s="820"/>
    </row>
    <row r="84" spans="1:27" ht="15.75" customHeight="1" thickBot="1" x14ac:dyDescent="0.3">
      <c r="A84" s="839" t="s">
        <v>623</v>
      </c>
      <c r="B84" s="905" t="s">
        <v>624</v>
      </c>
      <c r="C84" s="841">
        <v>102718.70600000001</v>
      </c>
      <c r="D84" s="841">
        <v>117790</v>
      </c>
      <c r="E84" s="841">
        <v>136514</v>
      </c>
      <c r="F84" s="841">
        <v>149170.29800000001</v>
      </c>
      <c r="G84" s="841">
        <v>150818</v>
      </c>
      <c r="H84" s="841">
        <v>142635.78363399999</v>
      </c>
      <c r="I84" s="842">
        <v>153242.79347800001</v>
      </c>
      <c r="J84" s="842">
        <v>152149.564938</v>
      </c>
      <c r="K84" s="841">
        <v>156043</v>
      </c>
      <c r="L84" s="841">
        <v>175003.352235</v>
      </c>
      <c r="M84" s="843">
        <v>202085.8859029999</v>
      </c>
      <c r="N84" s="841" t="s">
        <v>478</v>
      </c>
      <c r="O84" s="995"/>
      <c r="P84"/>
      <c r="Q84"/>
      <c r="R84"/>
      <c r="S84"/>
      <c r="T84" s="820"/>
      <c r="U84" s="820"/>
      <c r="V84" s="820"/>
      <c r="W84" s="820"/>
      <c r="X84" s="820"/>
      <c r="Y84" s="820"/>
      <c r="Z84" s="820"/>
      <c r="AA84" s="820"/>
    </row>
    <row r="85" spans="1:27" ht="13.5" customHeight="1" x14ac:dyDescent="0.25">
      <c r="A85" s="1002" t="s">
        <v>625</v>
      </c>
      <c r="B85" s="1002"/>
      <c r="C85" s="1002"/>
      <c r="D85" s="1002"/>
      <c r="E85" s="1002"/>
      <c r="F85" s="1002"/>
      <c r="G85" s="1002"/>
      <c r="H85" s="1002"/>
      <c r="I85" s="1002"/>
      <c r="J85" s="1002"/>
      <c r="K85" s="1002"/>
      <c r="L85" s="1002"/>
      <c r="M85" s="1002"/>
      <c r="N85" s="1002"/>
      <c r="O85" s="1002"/>
      <c r="P85"/>
      <c r="Q85"/>
      <c r="R85"/>
      <c r="S85"/>
      <c r="T85" s="820"/>
      <c r="U85" s="820"/>
      <c r="V85" s="820"/>
      <c r="W85" s="820"/>
      <c r="X85" s="820"/>
      <c r="Y85" s="820"/>
      <c r="Z85" s="820"/>
      <c r="AA85" s="820"/>
    </row>
    <row r="86" spans="1:27" s="850" customFormat="1" ht="13.5" customHeight="1" thickBot="1" x14ac:dyDescent="0.3">
      <c r="A86" s="998" t="s">
        <v>626</v>
      </c>
      <c r="B86" s="998"/>
      <c r="C86" s="998"/>
      <c r="D86" s="998"/>
      <c r="E86" s="998"/>
      <c r="F86" s="998"/>
      <c r="G86" s="998"/>
      <c r="H86" s="998"/>
      <c r="I86" s="998"/>
      <c r="J86" s="998"/>
      <c r="K86" s="998"/>
      <c r="L86" s="998"/>
      <c r="M86" s="998"/>
      <c r="N86" s="998"/>
      <c r="O86" s="998"/>
      <c r="P86" s="847"/>
      <c r="Q86" s="847"/>
      <c r="R86" s="847"/>
      <c r="S86" s="847"/>
      <c r="T86" s="848"/>
      <c r="U86" s="848"/>
      <c r="V86" s="848"/>
      <c r="W86" s="848"/>
      <c r="X86" s="848"/>
      <c r="Y86" s="848"/>
      <c r="Z86" s="848"/>
      <c r="AA86" s="848"/>
    </row>
    <row r="87" spans="1:27" ht="29.25" customHeight="1" thickBot="1" x14ac:dyDescent="0.3">
      <c r="A87" s="839" t="s">
        <v>627</v>
      </c>
      <c r="B87" s="905" t="s">
        <v>628</v>
      </c>
      <c r="C87" s="841" t="s">
        <v>629</v>
      </c>
      <c r="D87" s="841" t="s">
        <v>42</v>
      </c>
      <c r="E87" s="841" t="s">
        <v>42</v>
      </c>
      <c r="F87" s="841" t="s">
        <v>42</v>
      </c>
      <c r="G87" s="841" t="s">
        <v>42</v>
      </c>
      <c r="H87" s="841" t="s">
        <v>42</v>
      </c>
      <c r="I87" s="842" t="s">
        <v>42</v>
      </c>
      <c r="J87" s="842" t="s">
        <v>42</v>
      </c>
      <c r="K87" s="841"/>
      <c r="L87" s="841"/>
      <c r="M87" s="841"/>
      <c r="N87" s="841" t="s">
        <v>478</v>
      </c>
      <c r="O87" s="858" t="s">
        <v>630</v>
      </c>
      <c r="P87"/>
      <c r="Q87"/>
      <c r="R87"/>
      <c r="S87"/>
      <c r="T87" s="820"/>
      <c r="U87" s="820"/>
      <c r="V87" s="820"/>
      <c r="W87" s="820"/>
      <c r="X87" s="820"/>
      <c r="Y87" s="820"/>
      <c r="Z87" s="820"/>
      <c r="AA87" s="820"/>
    </row>
    <row r="88" spans="1:27" s="850" customFormat="1" ht="12.75" customHeight="1" x14ac:dyDescent="0.25">
      <c r="A88" s="1001" t="s">
        <v>631</v>
      </c>
      <c r="B88" s="1001"/>
      <c r="C88" s="1001"/>
      <c r="D88" s="1001"/>
      <c r="E88" s="1001"/>
      <c r="F88" s="1001"/>
      <c r="G88" s="1001"/>
      <c r="H88" s="1001"/>
      <c r="I88" s="1001"/>
      <c r="J88" s="1001"/>
      <c r="K88" s="1001"/>
      <c r="L88" s="1001"/>
      <c r="M88" s="1001"/>
      <c r="N88" s="1001"/>
      <c r="O88" s="1001"/>
      <c r="P88" s="847"/>
      <c r="Q88" s="847"/>
      <c r="R88" s="847"/>
      <c r="S88" s="847"/>
      <c r="T88" s="848"/>
      <c r="U88" s="848"/>
      <c r="V88" s="848"/>
      <c r="W88" s="848"/>
      <c r="X88" s="848"/>
      <c r="Y88" s="848"/>
      <c r="Z88" s="848"/>
      <c r="AA88" s="848"/>
    </row>
    <row r="89" spans="1:27" x14ac:dyDescent="0.25">
      <c r="A89" s="906" t="s">
        <v>632</v>
      </c>
      <c r="B89" s="878" t="s">
        <v>633</v>
      </c>
      <c r="C89" s="818" t="s">
        <v>42</v>
      </c>
      <c r="D89" s="818" t="s">
        <v>42</v>
      </c>
      <c r="E89" s="818">
        <v>243</v>
      </c>
      <c r="F89" s="818">
        <v>257</v>
      </c>
      <c r="G89" s="818">
        <v>262</v>
      </c>
      <c r="H89" s="818">
        <v>252</v>
      </c>
      <c r="I89" s="823">
        <v>238</v>
      </c>
      <c r="J89" s="823">
        <v>247</v>
      </c>
      <c r="K89" s="818"/>
      <c r="L89" s="818"/>
      <c r="M89" s="818"/>
      <c r="N89" s="818" t="s">
        <v>587</v>
      </c>
      <c r="O89" s="1003" t="s">
        <v>634</v>
      </c>
      <c r="P89"/>
      <c r="Q89"/>
      <c r="R89"/>
      <c r="S89"/>
      <c r="T89" s="907"/>
      <c r="U89" s="820"/>
      <c r="V89" s="820"/>
      <c r="W89" s="820"/>
      <c r="X89" s="820"/>
      <c r="Y89" s="820"/>
      <c r="Z89" s="820"/>
      <c r="AA89" s="820"/>
    </row>
    <row r="90" spans="1:27" x14ac:dyDescent="0.25">
      <c r="A90" s="906" t="s">
        <v>635</v>
      </c>
      <c r="B90" s="878" t="s">
        <v>636</v>
      </c>
      <c r="C90" s="818" t="s">
        <v>42</v>
      </c>
      <c r="D90" s="818" t="s">
        <v>42</v>
      </c>
      <c r="E90" s="818">
        <v>9305524</v>
      </c>
      <c r="F90" s="818">
        <v>13048690</v>
      </c>
      <c r="G90" s="818">
        <v>12704687</v>
      </c>
      <c r="H90" s="818">
        <v>14649731</v>
      </c>
      <c r="I90" s="823">
        <v>13528389.51</v>
      </c>
      <c r="J90" s="823">
        <v>14867481.439999999</v>
      </c>
      <c r="K90" s="818"/>
      <c r="L90" s="818"/>
      <c r="M90" s="818"/>
      <c r="N90" s="818" t="s">
        <v>478</v>
      </c>
      <c r="O90" s="994"/>
      <c r="P90"/>
      <c r="Q90"/>
      <c r="R90"/>
      <c r="S90"/>
      <c r="T90" s="820"/>
      <c r="U90" s="820"/>
      <c r="V90" s="820"/>
      <c r="W90" s="820"/>
      <c r="X90" s="820"/>
      <c r="Y90" s="820"/>
      <c r="Z90" s="820"/>
      <c r="AA90" s="820"/>
    </row>
    <row r="91" spans="1:27" x14ac:dyDescent="0.25">
      <c r="A91" s="906" t="s">
        <v>637</v>
      </c>
      <c r="B91" s="878" t="s">
        <v>638</v>
      </c>
      <c r="C91" s="818" t="s">
        <v>42</v>
      </c>
      <c r="D91" s="818" t="s">
        <v>42</v>
      </c>
      <c r="E91" s="818" t="s">
        <v>42</v>
      </c>
      <c r="F91" s="818">
        <v>31</v>
      </c>
      <c r="G91" s="818">
        <v>32</v>
      </c>
      <c r="H91" s="818">
        <v>33</v>
      </c>
      <c r="I91" s="823">
        <v>19</v>
      </c>
      <c r="J91" s="823">
        <v>13</v>
      </c>
      <c r="K91" s="818"/>
      <c r="L91" s="818"/>
      <c r="M91" s="818"/>
      <c r="N91" s="818" t="s">
        <v>587</v>
      </c>
      <c r="O91" s="994"/>
      <c r="P91"/>
      <c r="Q91"/>
      <c r="R91"/>
      <c r="S91"/>
      <c r="T91" s="820"/>
      <c r="U91" s="820"/>
      <c r="V91" s="820"/>
      <c r="W91" s="820"/>
      <c r="X91" s="820"/>
      <c r="Y91" s="820"/>
      <c r="Z91" s="820"/>
      <c r="AA91" s="820"/>
    </row>
    <row r="92" spans="1:27" ht="14.25" customHeight="1" thickBot="1" x14ac:dyDescent="0.3">
      <c r="A92" s="908" t="s">
        <v>639</v>
      </c>
      <c r="B92" s="905" t="s">
        <v>640</v>
      </c>
      <c r="C92" s="818" t="s">
        <v>42</v>
      </c>
      <c r="D92" s="818" t="s">
        <v>42</v>
      </c>
      <c r="E92" s="818" t="s">
        <v>42</v>
      </c>
      <c r="F92" s="818">
        <v>172</v>
      </c>
      <c r="G92" s="836">
        <v>179</v>
      </c>
      <c r="H92" s="836">
        <v>175</v>
      </c>
      <c r="I92" s="866">
        <v>174</v>
      </c>
      <c r="J92" s="866">
        <v>180</v>
      </c>
      <c r="K92" s="836"/>
      <c r="L92" s="836"/>
      <c r="M92" s="836"/>
      <c r="N92" s="841" t="s">
        <v>587</v>
      </c>
      <c r="O92" s="995"/>
      <c r="P92"/>
      <c r="Q92"/>
      <c r="R92"/>
      <c r="S92"/>
      <c r="T92" s="820"/>
      <c r="U92" s="820"/>
      <c r="V92" s="820"/>
      <c r="W92" s="820"/>
      <c r="X92" s="820"/>
      <c r="Y92" s="820"/>
      <c r="Z92" s="820"/>
      <c r="AA92" s="820"/>
    </row>
    <row r="93" spans="1:27" s="850" customFormat="1" ht="13.5" customHeight="1" thickBot="1" x14ac:dyDescent="0.3">
      <c r="A93" s="999" t="s">
        <v>641</v>
      </c>
      <c r="B93" s="999"/>
      <c r="C93" s="999"/>
      <c r="D93" s="999"/>
      <c r="E93" s="999"/>
      <c r="F93" s="999"/>
      <c r="G93" s="999"/>
      <c r="H93" s="999"/>
      <c r="I93" s="999"/>
      <c r="J93" s="999"/>
      <c r="K93" s="999"/>
      <c r="L93" s="999"/>
      <c r="M93" s="999"/>
      <c r="N93" s="999"/>
      <c r="O93" s="999"/>
      <c r="P93" s="847"/>
      <c r="Q93" s="847"/>
      <c r="R93" s="847"/>
      <c r="S93" s="847"/>
      <c r="T93" s="848"/>
      <c r="U93" s="848"/>
      <c r="V93" s="848"/>
      <c r="W93" s="848"/>
      <c r="X93" s="848"/>
      <c r="Y93" s="848"/>
      <c r="Z93" s="848"/>
      <c r="AA93" s="848"/>
    </row>
    <row r="94" spans="1:27" ht="13.5" customHeight="1" x14ac:dyDescent="0.25">
      <c r="A94" s="851" t="s">
        <v>642</v>
      </c>
      <c r="B94" s="852" t="s">
        <v>643</v>
      </c>
      <c r="C94" s="853">
        <v>3661710.92</v>
      </c>
      <c r="D94" s="874">
        <v>3236928.16</v>
      </c>
      <c r="E94" s="874">
        <v>4027735.3406199994</v>
      </c>
      <c r="F94" s="874">
        <v>4251434.5024899999</v>
      </c>
      <c r="G94" s="874">
        <v>3616293</v>
      </c>
      <c r="H94" s="874">
        <v>4333862.1789740007</v>
      </c>
      <c r="I94" s="875">
        <v>3716720.7227190002</v>
      </c>
      <c r="J94" s="875">
        <v>3212758.3773070006</v>
      </c>
      <c r="K94" s="874">
        <v>2700918</v>
      </c>
      <c r="L94" s="874">
        <v>2872155.5946909995</v>
      </c>
      <c r="M94" s="909">
        <v>3006046.3245819998</v>
      </c>
      <c r="N94" s="818" t="s">
        <v>478</v>
      </c>
      <c r="O94" s="993" t="s">
        <v>481</v>
      </c>
      <c r="P94"/>
      <c r="Q94"/>
      <c r="R94"/>
      <c r="S94"/>
      <c r="T94" s="820"/>
      <c r="U94" s="820"/>
      <c r="V94" s="820"/>
      <c r="W94" s="820"/>
      <c r="X94" s="820"/>
      <c r="Y94" s="820"/>
      <c r="Z94" s="820"/>
      <c r="AA94" s="820"/>
    </row>
    <row r="95" spans="1:27" ht="15.75" customHeight="1" x14ac:dyDescent="0.25">
      <c r="A95" s="813" t="s">
        <v>644</v>
      </c>
      <c r="B95" s="893" t="s">
        <v>645</v>
      </c>
      <c r="C95" s="874">
        <v>3265224.48</v>
      </c>
      <c r="D95" s="874">
        <v>2802206.76</v>
      </c>
      <c r="E95" s="874">
        <v>3625729.9706199993</v>
      </c>
      <c r="F95" s="874">
        <v>3692282.5618699999</v>
      </c>
      <c r="G95" s="874">
        <v>3166158</v>
      </c>
      <c r="H95" s="874">
        <v>3866941.4819240007</v>
      </c>
      <c r="I95" s="875">
        <v>3213812.7982990001</v>
      </c>
      <c r="J95" s="875">
        <v>2641345.6626170008</v>
      </c>
      <c r="K95" s="874">
        <v>2080131</v>
      </c>
      <c r="L95" s="874">
        <v>2105236.9830519995</v>
      </c>
      <c r="M95" s="909">
        <v>2075246.3618469997</v>
      </c>
      <c r="N95" s="818" t="s">
        <v>478</v>
      </c>
      <c r="O95" s="994"/>
      <c r="P95"/>
      <c r="Q95"/>
      <c r="R95"/>
      <c r="S95"/>
      <c r="T95" s="820"/>
      <c r="U95" s="820"/>
      <c r="V95" s="820"/>
      <c r="W95" s="820"/>
      <c r="X95" s="820"/>
      <c r="Y95" s="820"/>
      <c r="Z95" s="820"/>
      <c r="AA95" s="820"/>
    </row>
    <row r="96" spans="1:27" ht="18" x14ac:dyDescent="0.25">
      <c r="A96" s="813" t="s">
        <v>646</v>
      </c>
      <c r="B96" s="878" t="s">
        <v>647</v>
      </c>
      <c r="C96" s="818">
        <v>1752571.48</v>
      </c>
      <c r="D96" s="874">
        <v>1353913.64</v>
      </c>
      <c r="E96" s="874">
        <v>1713460.09</v>
      </c>
      <c r="F96" s="874">
        <v>1763469.577</v>
      </c>
      <c r="G96" s="874">
        <v>1229541</v>
      </c>
      <c r="H96" s="874">
        <v>1786951.6910000001</v>
      </c>
      <c r="I96" s="875">
        <v>1204734.78</v>
      </c>
      <c r="J96" s="875">
        <v>616445.32700000005</v>
      </c>
      <c r="K96" s="874">
        <v>151220</v>
      </c>
      <c r="L96" s="874">
        <v>59289.273999999998</v>
      </c>
      <c r="M96" s="909">
        <v>103907.6681</v>
      </c>
      <c r="N96" s="818" t="s">
        <v>478</v>
      </c>
      <c r="O96" s="994"/>
      <c r="P96"/>
      <c r="Q96"/>
      <c r="R96"/>
      <c r="S96"/>
      <c r="T96" s="820"/>
      <c r="U96" s="820"/>
      <c r="V96" s="820"/>
      <c r="W96" s="820"/>
      <c r="X96" s="820"/>
      <c r="Y96" s="820"/>
      <c r="Z96" s="820"/>
      <c r="AA96" s="820"/>
    </row>
    <row r="97" spans="1:27" ht="15.75" customHeight="1" x14ac:dyDescent="0.25">
      <c r="A97" s="813" t="s">
        <v>648</v>
      </c>
      <c r="B97" s="878" t="s">
        <v>649</v>
      </c>
      <c r="C97" s="818">
        <f>C95-C96</f>
        <v>1512653</v>
      </c>
      <c r="D97" s="818">
        <f>D95-D96</f>
        <v>1448293.1199999999</v>
      </c>
      <c r="E97" s="818">
        <f>E95-E96</f>
        <v>1912269.8806199993</v>
      </c>
      <c r="F97" s="818">
        <f>F95-F96</f>
        <v>1928812.9848699998</v>
      </c>
      <c r="G97" s="818">
        <f>G95-G96</f>
        <v>1936617</v>
      </c>
      <c r="H97" s="818">
        <v>2079989.7909240006</v>
      </c>
      <c r="I97" s="823">
        <v>2009078.0182990001</v>
      </c>
      <c r="J97" s="823">
        <v>2024900.3356170005</v>
      </c>
      <c r="K97" s="818">
        <v>1928911</v>
      </c>
      <c r="L97" s="818">
        <v>2045947.7090519995</v>
      </c>
      <c r="M97" s="828">
        <v>1971338.6937469998</v>
      </c>
      <c r="N97" s="818" t="s">
        <v>478</v>
      </c>
      <c r="O97" s="994"/>
      <c r="P97"/>
      <c r="Q97"/>
      <c r="R97"/>
      <c r="S97"/>
      <c r="T97" s="820"/>
      <c r="U97" s="820"/>
      <c r="V97" s="820"/>
      <c r="W97" s="820"/>
      <c r="X97" s="820"/>
      <c r="Y97" s="820"/>
      <c r="Z97" s="820"/>
      <c r="AA97" s="820"/>
    </row>
    <row r="98" spans="1:27" ht="15.75" customHeight="1" x14ac:dyDescent="0.25">
      <c r="A98" s="813" t="s">
        <v>650</v>
      </c>
      <c r="B98" s="878" t="s">
        <v>651</v>
      </c>
      <c r="C98" s="818">
        <v>6313336.9199999999</v>
      </c>
      <c r="D98" s="874">
        <v>6177107</v>
      </c>
      <c r="E98" s="874">
        <v>6940097.3406199999</v>
      </c>
      <c r="F98" s="874">
        <v>7499857.87249</v>
      </c>
      <c r="G98" s="874">
        <v>6984213</v>
      </c>
      <c r="H98" s="874">
        <v>8048900.9708950007</v>
      </c>
      <c r="I98" s="875">
        <v>7333508.6086550038</v>
      </c>
      <c r="J98" s="875">
        <v>7162156.2752670031</v>
      </c>
      <c r="K98" s="874">
        <v>6801337</v>
      </c>
      <c r="L98" s="874">
        <v>7300888</v>
      </c>
      <c r="M98" s="909">
        <v>7288331.2458820054</v>
      </c>
      <c r="N98" s="818" t="s">
        <v>478</v>
      </c>
      <c r="O98" s="1012"/>
      <c r="P98"/>
      <c r="Q98"/>
      <c r="R98"/>
      <c r="S98"/>
      <c r="T98" s="820"/>
      <c r="U98" s="820"/>
      <c r="V98" s="820"/>
      <c r="W98" s="820"/>
      <c r="X98" s="820"/>
      <c r="Y98" s="820"/>
      <c r="Z98" s="820"/>
      <c r="AA98" s="820"/>
    </row>
    <row r="99" spans="1:27" ht="21.75" customHeight="1" thickBot="1" x14ac:dyDescent="0.3">
      <c r="A99" s="839" t="s">
        <v>652</v>
      </c>
      <c r="B99" s="905" t="s">
        <v>653</v>
      </c>
      <c r="C99" s="841">
        <v>169939.4</v>
      </c>
      <c r="D99" s="874">
        <v>170668.75</v>
      </c>
      <c r="E99" s="874">
        <v>189400.63</v>
      </c>
      <c r="F99" s="874">
        <v>213583.86</v>
      </c>
      <c r="G99" s="874">
        <v>257514.92</v>
      </c>
      <c r="H99" s="874">
        <v>416067.57999999996</v>
      </c>
      <c r="I99" s="874">
        <v>566954.57999999996</v>
      </c>
      <c r="J99" s="874">
        <v>796759.55999999994</v>
      </c>
      <c r="K99" s="874">
        <v>811261.03999999992</v>
      </c>
      <c r="L99" s="874">
        <v>921202</v>
      </c>
      <c r="M99" s="874">
        <f>'Figura 1.5-15'!O7</f>
        <v>870739.96</v>
      </c>
      <c r="N99" s="818" t="s">
        <v>478</v>
      </c>
      <c r="O99" s="858" t="s">
        <v>608</v>
      </c>
      <c r="P99"/>
      <c r="Q99"/>
      <c r="R99"/>
      <c r="S99"/>
      <c r="T99" s="820"/>
      <c r="U99" s="820"/>
      <c r="V99" s="820"/>
      <c r="W99" s="820"/>
      <c r="X99" s="820"/>
      <c r="Y99" s="820"/>
      <c r="Z99" s="820"/>
      <c r="AA99" s="820"/>
    </row>
    <row r="100" spans="1:27" s="850" customFormat="1" ht="15.75" customHeight="1" thickBot="1" x14ac:dyDescent="0.3">
      <c r="A100" s="999" t="s">
        <v>654</v>
      </c>
      <c r="B100" s="999"/>
      <c r="C100" s="999"/>
      <c r="D100" s="999"/>
      <c r="E100" s="999"/>
      <c r="F100" s="999"/>
      <c r="G100" s="999"/>
      <c r="H100" s="999"/>
      <c r="I100" s="999"/>
      <c r="J100" s="999"/>
      <c r="K100" s="999"/>
      <c r="L100" s="999"/>
      <c r="M100" s="999"/>
      <c r="N100" s="999"/>
      <c r="O100" s="999"/>
      <c r="P100" s="847"/>
      <c r="Q100" s="847"/>
      <c r="R100" s="847"/>
      <c r="S100" s="847"/>
      <c r="T100" s="848"/>
      <c r="U100" s="848"/>
      <c r="V100" s="848"/>
      <c r="W100" s="848"/>
      <c r="X100" s="848"/>
      <c r="Y100" s="848"/>
      <c r="Z100" s="848"/>
      <c r="AA100" s="848"/>
    </row>
    <row r="101" spans="1:27" ht="13.5" customHeight="1" thickBot="1" x14ac:dyDescent="0.3">
      <c r="A101" s="1010" t="s">
        <v>655</v>
      </c>
      <c r="B101" s="1010"/>
      <c r="C101" s="1010"/>
      <c r="D101" s="1010"/>
      <c r="E101" s="1010"/>
      <c r="F101" s="1010"/>
      <c r="G101" s="1010"/>
      <c r="H101" s="1010"/>
      <c r="I101" s="1010"/>
      <c r="J101" s="1010"/>
      <c r="K101" s="1010"/>
      <c r="L101" s="1010"/>
      <c r="M101" s="1010"/>
      <c r="N101" s="1010"/>
      <c r="O101" s="1010"/>
      <c r="P101"/>
      <c r="Q101"/>
      <c r="R101"/>
      <c r="S101"/>
      <c r="T101" s="820"/>
      <c r="U101" s="820"/>
      <c r="V101" s="820"/>
      <c r="W101" s="820"/>
      <c r="X101" s="820"/>
      <c r="Y101" s="820"/>
      <c r="Z101" s="820"/>
      <c r="AA101" s="820"/>
    </row>
    <row r="102" spans="1:27" s="850" customFormat="1" ht="15.75" customHeight="1" thickBot="1" x14ac:dyDescent="0.3">
      <c r="A102" s="999" t="s">
        <v>656</v>
      </c>
      <c r="B102" s="999"/>
      <c r="C102" s="999"/>
      <c r="D102" s="999"/>
      <c r="E102" s="999"/>
      <c r="F102" s="999"/>
      <c r="G102" s="999"/>
      <c r="H102" s="999"/>
      <c r="I102" s="999"/>
      <c r="J102" s="999"/>
      <c r="K102" s="999"/>
      <c r="L102" s="999"/>
      <c r="M102" s="999"/>
      <c r="N102" s="999"/>
      <c r="O102" s="999"/>
      <c r="P102" s="847"/>
      <c r="Q102" s="847"/>
      <c r="R102" s="847"/>
      <c r="S102" s="847"/>
      <c r="T102" s="848"/>
      <c r="U102" s="848"/>
      <c r="V102" s="848"/>
      <c r="W102" s="848"/>
      <c r="X102" s="848"/>
      <c r="Y102" s="848"/>
      <c r="Z102" s="848"/>
      <c r="AA102" s="848"/>
    </row>
    <row r="103" spans="1:27" ht="15.75" customHeight="1" thickBot="1" x14ac:dyDescent="0.3">
      <c r="A103" s="1010" t="s">
        <v>655</v>
      </c>
      <c r="B103" s="1010"/>
      <c r="C103" s="1010"/>
      <c r="D103" s="1010"/>
      <c r="E103" s="1010"/>
      <c r="F103" s="1010"/>
      <c r="G103" s="1010"/>
      <c r="H103" s="1010"/>
      <c r="I103" s="1010"/>
      <c r="J103" s="1010"/>
      <c r="K103" s="1010"/>
      <c r="L103" s="1010"/>
      <c r="M103" s="1010"/>
      <c r="N103" s="1010"/>
      <c r="O103" s="1010"/>
      <c r="P103"/>
      <c r="Q103"/>
      <c r="R103"/>
      <c r="S103"/>
      <c r="T103" s="820"/>
      <c r="U103" s="820"/>
      <c r="V103" s="820"/>
      <c r="W103" s="820"/>
      <c r="X103" s="820"/>
      <c r="Y103" s="820"/>
      <c r="Z103" s="820"/>
      <c r="AA103" s="820"/>
    </row>
    <row r="104" spans="1:27" s="850" customFormat="1" ht="13.5" customHeight="1" thickBot="1" x14ac:dyDescent="0.3">
      <c r="A104" s="999" t="s">
        <v>657</v>
      </c>
      <c r="B104" s="999"/>
      <c r="C104" s="999"/>
      <c r="D104" s="999"/>
      <c r="E104" s="999"/>
      <c r="F104" s="999"/>
      <c r="G104" s="999"/>
      <c r="H104" s="999"/>
      <c r="I104" s="999"/>
      <c r="J104" s="999"/>
      <c r="K104" s="999"/>
      <c r="L104" s="999"/>
      <c r="M104" s="999"/>
      <c r="N104" s="999"/>
      <c r="O104" s="999"/>
      <c r="P104" s="847"/>
      <c r="Q104" s="847"/>
      <c r="R104" s="847"/>
      <c r="S104" s="847"/>
      <c r="T104" s="848"/>
      <c r="U104" s="848"/>
      <c r="V104" s="848"/>
      <c r="W104" s="848"/>
      <c r="X104" s="848"/>
      <c r="Y104" s="848"/>
      <c r="Z104" s="848"/>
      <c r="AA104" s="848"/>
    </row>
    <row r="105" spans="1:27" x14ac:dyDescent="0.25">
      <c r="A105" s="851" t="s">
        <v>658</v>
      </c>
      <c r="B105" s="852" t="s">
        <v>659</v>
      </c>
      <c r="C105" s="1006">
        <v>377300</v>
      </c>
      <c r="D105" s="1007"/>
      <c r="E105" s="1007"/>
      <c r="F105" s="1007"/>
      <c r="G105" s="1007"/>
      <c r="H105" s="1007"/>
      <c r="I105" s="1007"/>
      <c r="J105" s="1007"/>
      <c r="K105" s="1007"/>
      <c r="L105" s="1007"/>
      <c r="M105" s="1008"/>
      <c r="N105" s="853" t="s">
        <v>478</v>
      </c>
      <c r="O105" s="902" t="s">
        <v>485</v>
      </c>
      <c r="P105"/>
      <c r="Q105"/>
      <c r="R105"/>
      <c r="S105"/>
      <c r="T105" s="820"/>
      <c r="U105" s="820"/>
      <c r="V105" s="820"/>
      <c r="W105" s="820"/>
      <c r="X105" s="820"/>
      <c r="Y105" s="820"/>
      <c r="Z105" s="820"/>
      <c r="AA105" s="820"/>
    </row>
    <row r="106" spans="1:27" ht="27.75" thickBot="1" x14ac:dyDescent="0.3">
      <c r="A106" s="839" t="s">
        <v>660</v>
      </c>
      <c r="B106" s="879" t="s">
        <v>661</v>
      </c>
      <c r="C106" s="910">
        <v>269031.06299083331</v>
      </c>
      <c r="D106" s="910">
        <v>244352.57402290002</v>
      </c>
      <c r="E106" s="910">
        <v>249724.527198</v>
      </c>
      <c r="F106" s="910">
        <v>263211.56576799997</v>
      </c>
      <c r="G106" s="910">
        <v>273343</v>
      </c>
      <c r="H106" s="910">
        <v>268164.56529499998</v>
      </c>
      <c r="I106" s="910">
        <v>275447.94616599998</v>
      </c>
      <c r="J106" s="911">
        <v>265518.16303749999</v>
      </c>
      <c r="K106" s="911">
        <v>255396.18643997467</v>
      </c>
      <c r="L106" s="911">
        <v>293435</v>
      </c>
      <c r="M106" s="910">
        <v>254879</v>
      </c>
      <c r="N106" s="841" t="s">
        <v>478</v>
      </c>
      <c r="O106" s="858" t="s">
        <v>662</v>
      </c>
      <c r="P106"/>
      <c r="Q106"/>
      <c r="R106"/>
      <c r="S106"/>
      <c r="T106" s="912"/>
      <c r="U106" s="820"/>
      <c r="V106" s="820"/>
      <c r="W106" s="820"/>
      <c r="X106" s="820"/>
      <c r="Y106" s="820"/>
      <c r="Z106" s="820"/>
      <c r="AA106" s="820"/>
    </row>
    <row r="107" spans="1:27" s="850" customFormat="1" ht="13.5" customHeight="1" thickBot="1" x14ac:dyDescent="0.3">
      <c r="A107" s="999" t="s">
        <v>663</v>
      </c>
      <c r="B107" s="999"/>
      <c r="C107" s="999"/>
      <c r="D107" s="999"/>
      <c r="E107" s="999"/>
      <c r="F107" s="999"/>
      <c r="G107" s="999"/>
      <c r="H107" s="999"/>
      <c r="I107" s="999"/>
      <c r="J107" s="999"/>
      <c r="K107" s="999"/>
      <c r="L107" s="999"/>
      <c r="M107" s="999"/>
      <c r="N107" s="999"/>
      <c r="O107" s="999"/>
      <c r="P107" s="847"/>
      <c r="Q107" s="847"/>
      <c r="R107" s="847"/>
      <c r="S107" s="847"/>
      <c r="T107" s="848"/>
      <c r="U107" s="848"/>
      <c r="V107" s="848"/>
      <c r="W107" s="848"/>
      <c r="X107" s="848"/>
      <c r="Y107" s="848"/>
      <c r="Z107" s="848"/>
      <c r="AA107" s="848"/>
    </row>
    <row r="108" spans="1:27" ht="20.25" customHeight="1" x14ac:dyDescent="0.25">
      <c r="A108" s="913" t="s">
        <v>664</v>
      </c>
      <c r="B108" s="852" t="s">
        <v>665</v>
      </c>
      <c r="C108" s="853">
        <v>12337</v>
      </c>
      <c r="D108" s="853">
        <v>15617</v>
      </c>
      <c r="E108" s="853">
        <v>20202</v>
      </c>
      <c r="F108" s="853">
        <v>22322</v>
      </c>
      <c r="G108" s="853">
        <v>21402</v>
      </c>
      <c r="H108" s="853">
        <v>18661.21</v>
      </c>
      <c r="I108" s="877">
        <v>25427.55</v>
      </c>
      <c r="J108" s="877">
        <v>32816.32</v>
      </c>
      <c r="K108" s="853">
        <v>29475.849999999995</v>
      </c>
      <c r="L108" s="853">
        <v>42850.219999999987</v>
      </c>
      <c r="M108" s="914">
        <v>57881.33</v>
      </c>
      <c r="N108" s="853" t="s">
        <v>478</v>
      </c>
      <c r="O108" s="993" t="s">
        <v>485</v>
      </c>
      <c r="P108"/>
      <c r="Q108"/>
      <c r="R108"/>
      <c r="S108"/>
      <c r="T108" s="820"/>
      <c r="U108" s="820"/>
      <c r="V108" s="820"/>
      <c r="W108" s="820"/>
      <c r="X108" s="820"/>
      <c r="Y108" s="820"/>
      <c r="Z108" s="820"/>
      <c r="AA108" s="820"/>
    </row>
    <row r="109" spans="1:27" ht="20.25" customHeight="1" thickBot="1" x14ac:dyDescent="0.3">
      <c r="A109" s="915" t="s">
        <v>666</v>
      </c>
      <c r="B109" s="905" t="s">
        <v>667</v>
      </c>
      <c r="C109" s="916">
        <v>0.79</v>
      </c>
      <c r="D109" s="916">
        <v>15</v>
      </c>
      <c r="E109" s="917">
        <v>276</v>
      </c>
      <c r="F109" s="917">
        <v>91.4</v>
      </c>
      <c r="G109" s="917">
        <v>29.84</v>
      </c>
      <c r="H109" s="917">
        <v>164.96</v>
      </c>
      <c r="I109" s="918">
        <v>283.84199999999998</v>
      </c>
      <c r="J109" s="918">
        <v>92.995000000000005</v>
      </c>
      <c r="K109" s="917">
        <v>264.94900000000001</v>
      </c>
      <c r="L109" s="917">
        <v>330.22</v>
      </c>
      <c r="M109" s="919">
        <v>573.04999999999995</v>
      </c>
      <c r="N109" s="920" t="s">
        <v>478</v>
      </c>
      <c r="O109" s="995"/>
      <c r="P109"/>
      <c r="Q109"/>
      <c r="R109"/>
      <c r="S109"/>
      <c r="T109" s="820"/>
      <c r="U109" s="820"/>
      <c r="V109" s="820"/>
      <c r="W109" s="820"/>
      <c r="X109" s="820"/>
      <c r="Y109" s="820"/>
      <c r="Z109" s="820"/>
      <c r="AA109" s="820"/>
    </row>
    <row r="110" spans="1:27" s="850" customFormat="1" ht="13.5" customHeight="1" thickBot="1" x14ac:dyDescent="0.3">
      <c r="A110" s="998" t="s">
        <v>668</v>
      </c>
      <c r="B110" s="998"/>
      <c r="C110" s="998"/>
      <c r="D110" s="998"/>
      <c r="E110" s="998"/>
      <c r="F110" s="998"/>
      <c r="G110" s="998"/>
      <c r="H110" s="998"/>
      <c r="I110" s="998"/>
      <c r="J110" s="998"/>
      <c r="K110" s="998"/>
      <c r="L110" s="998"/>
      <c r="M110" s="998"/>
      <c r="N110" s="998"/>
      <c r="O110" s="998"/>
      <c r="P110" s="847"/>
      <c r="Q110" s="847"/>
      <c r="R110" s="847"/>
      <c r="S110" s="847"/>
      <c r="T110" s="848"/>
      <c r="U110" s="848"/>
      <c r="V110" s="848"/>
      <c r="W110" s="848"/>
      <c r="X110" s="848"/>
      <c r="Y110" s="848"/>
      <c r="Z110" s="848"/>
      <c r="AA110" s="848"/>
    </row>
    <row r="111" spans="1:27" ht="18" customHeight="1" x14ac:dyDescent="0.25">
      <c r="A111" s="906" t="s">
        <v>669</v>
      </c>
      <c r="B111" s="878" t="s">
        <v>670</v>
      </c>
      <c r="C111" s="818" t="s">
        <v>42</v>
      </c>
      <c r="D111" s="818" t="s">
        <v>42</v>
      </c>
      <c r="E111" s="921">
        <v>20</v>
      </c>
      <c r="F111" s="921">
        <v>57</v>
      </c>
      <c r="G111" s="921">
        <v>75</v>
      </c>
      <c r="H111" s="921">
        <v>196</v>
      </c>
      <c r="I111" s="921">
        <v>372</v>
      </c>
      <c r="J111" s="921">
        <v>223</v>
      </c>
      <c r="K111" s="921">
        <v>233</v>
      </c>
      <c r="L111" s="921">
        <v>252</v>
      </c>
      <c r="M111" s="922">
        <v>522</v>
      </c>
      <c r="N111" s="818" t="s">
        <v>587</v>
      </c>
      <c r="O111" s="993" t="s">
        <v>671</v>
      </c>
      <c r="P111"/>
      <c r="Q111"/>
      <c r="R111"/>
      <c r="S111"/>
      <c r="T111" s="820"/>
      <c r="U111" s="820"/>
      <c r="V111" s="820"/>
      <c r="W111" s="820"/>
      <c r="X111" s="820"/>
      <c r="Y111" s="820"/>
      <c r="Z111" s="820"/>
      <c r="AA111" s="820"/>
    </row>
    <row r="112" spans="1:27" x14ac:dyDescent="0.25">
      <c r="A112" s="906" t="s">
        <v>672</v>
      </c>
      <c r="B112" s="878" t="s">
        <v>1222</v>
      </c>
      <c r="C112" s="923">
        <v>987</v>
      </c>
      <c r="D112" s="923">
        <v>5016.3999999999996</v>
      </c>
      <c r="E112" s="923">
        <v>9327</v>
      </c>
      <c r="F112" s="923">
        <v>6472</v>
      </c>
      <c r="G112" s="923">
        <v>9747.2999999999993</v>
      </c>
      <c r="H112" s="923">
        <v>5930.4</v>
      </c>
      <c r="I112" s="923">
        <v>19360</v>
      </c>
      <c r="J112" s="924">
        <v>11755.6</v>
      </c>
      <c r="K112" s="924">
        <v>17739.599999999999</v>
      </c>
      <c r="L112" s="924">
        <v>12178.2</v>
      </c>
      <c r="M112" s="925">
        <v>6437.2</v>
      </c>
      <c r="N112" s="818" t="s">
        <v>673</v>
      </c>
      <c r="O112" s="994"/>
      <c r="P112"/>
      <c r="Q112"/>
      <c r="R112"/>
      <c r="S112"/>
      <c r="T112" s="820"/>
      <c r="U112" s="820"/>
      <c r="V112" s="820"/>
      <c r="W112" s="820"/>
      <c r="X112" s="820"/>
      <c r="Y112" s="820"/>
      <c r="Z112" s="820"/>
      <c r="AA112" s="820"/>
    </row>
    <row r="113" spans="1:27" ht="13.5" customHeight="1" x14ac:dyDescent="0.25">
      <c r="A113" s="906" t="s">
        <v>674</v>
      </c>
      <c r="B113" s="878" t="s">
        <v>1223</v>
      </c>
      <c r="C113" s="923">
        <v>1391.5</v>
      </c>
      <c r="D113" s="923">
        <v>12344.2</v>
      </c>
      <c r="E113" s="923">
        <v>25622.6</v>
      </c>
      <c r="F113" s="923">
        <v>34883.800000000003</v>
      </c>
      <c r="G113" s="923">
        <v>163714.20000000001</v>
      </c>
      <c r="H113" s="923">
        <v>112604</v>
      </c>
      <c r="I113" s="923">
        <v>196779.2</v>
      </c>
      <c r="J113" s="924">
        <f>17858.9+80466</f>
        <v>98324.9</v>
      </c>
      <c r="K113" s="924">
        <v>75671.7</v>
      </c>
      <c r="L113" s="924">
        <v>38947.5</v>
      </c>
      <c r="M113" s="925">
        <v>8986.7999999999993</v>
      </c>
      <c r="N113" s="921" t="s">
        <v>673</v>
      </c>
      <c r="O113" s="994"/>
      <c r="P113"/>
      <c r="Q113"/>
      <c r="R113"/>
      <c r="S113"/>
      <c r="T113" s="820"/>
      <c r="U113" s="820"/>
      <c r="V113" s="820"/>
      <c r="W113" s="820"/>
      <c r="X113" s="820"/>
      <c r="Y113" s="820"/>
      <c r="Z113" s="820"/>
      <c r="AA113" s="820"/>
    </row>
    <row r="114" spans="1:27" ht="13.5" customHeight="1" x14ac:dyDescent="0.25">
      <c r="A114" s="906" t="s">
        <v>675</v>
      </c>
      <c r="B114" s="878" t="s">
        <v>676</v>
      </c>
      <c r="C114" s="921">
        <v>790</v>
      </c>
      <c r="D114" s="921">
        <v>1179</v>
      </c>
      <c r="E114" s="921">
        <v>3058</v>
      </c>
      <c r="F114" s="921">
        <v>3552</v>
      </c>
      <c r="G114" s="921">
        <v>4099</v>
      </c>
      <c r="H114" s="921">
        <v>4521</v>
      </c>
      <c r="I114" s="921">
        <v>5067</v>
      </c>
      <c r="J114" s="921">
        <f>3859+745</f>
        <v>4604</v>
      </c>
      <c r="K114" s="921">
        <v>4703</v>
      </c>
      <c r="L114" s="921">
        <v>5959</v>
      </c>
      <c r="M114" s="922">
        <v>6560</v>
      </c>
      <c r="N114" s="921" t="s">
        <v>587</v>
      </c>
      <c r="O114" s="994"/>
      <c r="P114"/>
      <c r="Q114"/>
      <c r="R114"/>
      <c r="S114"/>
      <c r="T114" s="820"/>
      <c r="U114" s="820"/>
      <c r="V114" s="820"/>
      <c r="W114" s="820"/>
      <c r="X114" s="820"/>
      <c r="Y114" s="820"/>
      <c r="Z114" s="820"/>
      <c r="AA114" s="820"/>
    </row>
    <row r="115" spans="1:27" ht="13.5" customHeight="1" x14ac:dyDescent="0.25">
      <c r="A115" s="906" t="s">
        <v>677</v>
      </c>
      <c r="B115" s="878" t="s">
        <v>678</v>
      </c>
      <c r="C115" s="921">
        <v>27</v>
      </c>
      <c r="D115" s="921">
        <v>48</v>
      </c>
      <c r="E115" s="921">
        <v>48</v>
      </c>
      <c r="F115" s="921">
        <v>10</v>
      </c>
      <c r="G115" s="921">
        <v>34</v>
      </c>
      <c r="H115" s="921">
        <v>103</v>
      </c>
      <c r="I115" s="921">
        <v>48</v>
      </c>
      <c r="J115" s="921">
        <v>38</v>
      </c>
      <c r="K115" s="921">
        <v>28</v>
      </c>
      <c r="L115" s="921">
        <v>259</v>
      </c>
      <c r="M115" s="922">
        <v>335</v>
      </c>
      <c r="N115" s="921" t="s">
        <v>587</v>
      </c>
      <c r="O115" s="994"/>
      <c r="P115"/>
      <c r="Q115"/>
      <c r="R115"/>
      <c r="S115"/>
      <c r="T115" s="820"/>
      <c r="U115" s="820"/>
      <c r="V115" s="820"/>
      <c r="W115" s="820"/>
      <c r="X115" s="820"/>
      <c r="Y115" s="820"/>
      <c r="Z115" s="820"/>
      <c r="AA115" s="820"/>
    </row>
    <row r="116" spans="1:27" ht="21.75" customHeight="1" x14ac:dyDescent="0.25">
      <c r="A116" s="906" t="s">
        <v>679</v>
      </c>
      <c r="B116" s="878" t="s">
        <v>680</v>
      </c>
      <c r="C116" s="818" t="s">
        <v>42</v>
      </c>
      <c r="D116" s="818" t="s">
        <v>42</v>
      </c>
      <c r="E116" s="818" t="s">
        <v>42</v>
      </c>
      <c r="F116" s="921">
        <v>465</v>
      </c>
      <c r="G116" s="921">
        <v>681</v>
      </c>
      <c r="H116" s="921">
        <v>1076</v>
      </c>
      <c r="I116" s="921">
        <v>1252</v>
      </c>
      <c r="J116" s="921">
        <v>1507</v>
      </c>
      <c r="K116" s="921">
        <v>1636</v>
      </c>
      <c r="L116" s="921">
        <v>1197</v>
      </c>
      <c r="M116" s="922">
        <v>1107</v>
      </c>
      <c r="N116" s="921" t="s">
        <v>587</v>
      </c>
      <c r="O116" s="994"/>
      <c r="P116"/>
      <c r="Q116"/>
      <c r="R116"/>
      <c r="S116"/>
      <c r="T116" s="820"/>
      <c r="U116" s="820"/>
      <c r="V116" s="820"/>
      <c r="W116" s="820"/>
      <c r="X116" s="820"/>
      <c r="Y116" s="820"/>
      <c r="Z116" s="820"/>
      <c r="AA116" s="820"/>
    </row>
    <row r="117" spans="1:27" ht="19.5" customHeight="1" x14ac:dyDescent="0.25">
      <c r="A117" s="906" t="s">
        <v>681</v>
      </c>
      <c r="B117" s="878" t="s">
        <v>682</v>
      </c>
      <c r="C117" s="921">
        <v>70</v>
      </c>
      <c r="D117" s="921">
        <v>44</v>
      </c>
      <c r="E117" s="921">
        <v>47</v>
      </c>
      <c r="F117" s="921">
        <v>57</v>
      </c>
      <c r="G117" s="921">
        <v>29</v>
      </c>
      <c r="H117" s="921">
        <v>30</v>
      </c>
      <c r="I117" s="921">
        <v>33</v>
      </c>
      <c r="J117" s="921">
        <v>67</v>
      </c>
      <c r="K117" s="921">
        <v>39</v>
      </c>
      <c r="L117" s="921">
        <v>39</v>
      </c>
      <c r="M117" s="922">
        <v>39</v>
      </c>
      <c r="N117" s="921" t="s">
        <v>587</v>
      </c>
      <c r="O117" s="994"/>
      <c r="P117"/>
      <c r="Q117"/>
      <c r="R117"/>
      <c r="S117"/>
      <c r="T117" s="820"/>
      <c r="U117" s="820"/>
      <c r="V117" s="820"/>
      <c r="W117" s="820"/>
      <c r="X117" s="820"/>
      <c r="Y117" s="820"/>
      <c r="Z117" s="820"/>
      <c r="AA117" s="820"/>
    </row>
    <row r="118" spans="1:27" ht="13.5" customHeight="1" x14ac:dyDescent="0.25">
      <c r="A118" s="906" t="s">
        <v>683</v>
      </c>
      <c r="B118" s="878" t="s">
        <v>684</v>
      </c>
      <c r="C118" s="818" t="s">
        <v>42</v>
      </c>
      <c r="D118" s="818" t="s">
        <v>42</v>
      </c>
      <c r="E118" s="818" t="s">
        <v>42</v>
      </c>
      <c r="F118" s="921">
        <v>240</v>
      </c>
      <c r="G118" s="921">
        <v>200</v>
      </c>
      <c r="H118" s="921">
        <v>0</v>
      </c>
      <c r="I118" s="921">
        <v>285</v>
      </c>
      <c r="J118" s="921">
        <v>200</v>
      </c>
      <c r="K118" s="921">
        <v>0</v>
      </c>
      <c r="L118" s="921">
        <v>588.9</v>
      </c>
      <c r="M118" s="922">
        <v>79.5</v>
      </c>
      <c r="N118" s="921" t="s">
        <v>685</v>
      </c>
      <c r="O118" s="994"/>
      <c r="P118"/>
      <c r="Q118"/>
      <c r="R118"/>
      <c r="S118"/>
      <c r="T118" s="820"/>
      <c r="U118" s="820"/>
      <c r="V118" s="820"/>
      <c r="W118" s="820"/>
      <c r="X118" s="820"/>
      <c r="Y118" s="820"/>
      <c r="Z118" s="820"/>
      <c r="AA118" s="820"/>
    </row>
    <row r="119" spans="1:27" ht="13.5" customHeight="1" x14ac:dyDescent="0.25">
      <c r="A119" s="906" t="s">
        <v>686</v>
      </c>
      <c r="B119" s="878" t="s">
        <v>687</v>
      </c>
      <c r="C119" s="921" t="s">
        <v>42</v>
      </c>
      <c r="D119" s="921">
        <v>389</v>
      </c>
      <c r="E119" s="921">
        <v>297</v>
      </c>
      <c r="F119" s="921">
        <v>154</v>
      </c>
      <c r="G119" s="921">
        <v>75</v>
      </c>
      <c r="H119" s="921">
        <v>199.5</v>
      </c>
      <c r="I119" s="921">
        <v>0</v>
      </c>
      <c r="J119" s="921">
        <v>278.89999999999998</v>
      </c>
      <c r="K119" s="921">
        <v>375.2</v>
      </c>
      <c r="L119" s="921">
        <v>470.1</v>
      </c>
      <c r="M119" s="922">
        <v>150.5</v>
      </c>
      <c r="N119" s="921" t="s">
        <v>685</v>
      </c>
      <c r="O119" s="994"/>
      <c r="P119"/>
      <c r="Q119"/>
      <c r="R119"/>
      <c r="S119"/>
      <c r="T119" s="820"/>
      <c r="U119" s="820"/>
      <c r="V119" s="820"/>
      <c r="W119" s="820"/>
      <c r="X119" s="820"/>
      <c r="Y119" s="820"/>
      <c r="Z119" s="820"/>
      <c r="AA119" s="820"/>
    </row>
    <row r="120" spans="1:27" ht="13.5" customHeight="1" x14ac:dyDescent="0.25">
      <c r="A120" s="906" t="s">
        <v>688</v>
      </c>
      <c r="B120" s="878" t="s">
        <v>689</v>
      </c>
      <c r="C120" s="818" t="s">
        <v>42</v>
      </c>
      <c r="D120" s="818" t="s">
        <v>42</v>
      </c>
      <c r="E120" s="818" t="s">
        <v>42</v>
      </c>
      <c r="F120" s="921">
        <v>15</v>
      </c>
      <c r="G120" s="921">
        <v>5</v>
      </c>
      <c r="H120" s="921">
        <v>0</v>
      </c>
      <c r="I120" s="921">
        <v>10</v>
      </c>
      <c r="J120" s="921">
        <v>7</v>
      </c>
      <c r="K120" s="921">
        <v>0</v>
      </c>
      <c r="L120" s="921">
        <v>22</v>
      </c>
      <c r="M120" s="922">
        <v>2</v>
      </c>
      <c r="N120" s="921" t="s">
        <v>587</v>
      </c>
      <c r="O120" s="994"/>
      <c r="P120"/>
      <c r="Q120"/>
      <c r="R120"/>
      <c r="S120"/>
      <c r="T120" s="820"/>
      <c r="U120" s="820"/>
      <c r="V120" s="820"/>
      <c r="W120" s="820"/>
      <c r="X120" s="820"/>
      <c r="Y120" s="820"/>
      <c r="Z120" s="820"/>
      <c r="AA120" s="820"/>
    </row>
    <row r="121" spans="1:27" ht="13.5" customHeight="1" x14ac:dyDescent="0.25">
      <c r="A121" s="926" t="s">
        <v>690</v>
      </c>
      <c r="B121" s="893" t="s">
        <v>691</v>
      </c>
      <c r="C121" s="874" t="s">
        <v>42</v>
      </c>
      <c r="D121" s="927">
        <v>19</v>
      </c>
      <c r="E121" s="927">
        <v>11</v>
      </c>
      <c r="F121" s="927">
        <v>7</v>
      </c>
      <c r="G121" s="927">
        <v>2</v>
      </c>
      <c r="H121" s="927">
        <v>7</v>
      </c>
      <c r="I121" s="927">
        <v>0</v>
      </c>
      <c r="J121" s="927">
        <v>17</v>
      </c>
      <c r="K121" s="927">
        <v>28</v>
      </c>
      <c r="L121" s="927">
        <v>27</v>
      </c>
      <c r="M121" s="928">
        <v>9</v>
      </c>
      <c r="N121" s="927" t="s">
        <v>587</v>
      </c>
      <c r="O121" s="994"/>
      <c r="P121"/>
      <c r="Q121"/>
      <c r="R121"/>
      <c r="S121"/>
      <c r="T121" s="820"/>
      <c r="U121" s="820"/>
      <c r="V121" s="820"/>
      <c r="W121" s="820"/>
      <c r="X121" s="820"/>
      <c r="Y121" s="820"/>
      <c r="Z121" s="820"/>
      <c r="AA121" s="820"/>
    </row>
    <row r="122" spans="1:27" ht="13.5" customHeight="1" x14ac:dyDescent="0.25">
      <c r="A122" s="906" t="s">
        <v>692</v>
      </c>
      <c r="B122" s="878" t="s">
        <v>693</v>
      </c>
      <c r="C122" s="921">
        <v>1038</v>
      </c>
      <c r="D122" s="921">
        <v>1027</v>
      </c>
      <c r="E122" s="921">
        <v>612</v>
      </c>
      <c r="F122" s="921">
        <v>583</v>
      </c>
      <c r="G122" s="921">
        <v>396</v>
      </c>
      <c r="H122" s="921">
        <v>236</v>
      </c>
      <c r="I122" s="921">
        <v>6.5000000000000002E-2</v>
      </c>
      <c r="J122" s="921">
        <v>8.5999999999999993E-2</v>
      </c>
      <c r="K122" s="921">
        <v>0.158</v>
      </c>
      <c r="L122" s="921">
        <v>0.18709999999999999</v>
      </c>
      <c r="M122" s="922">
        <v>2.7879999999999999E-2</v>
      </c>
      <c r="N122" s="921" t="s">
        <v>673</v>
      </c>
      <c r="O122" s="994"/>
      <c r="P122"/>
      <c r="Q122"/>
      <c r="R122"/>
      <c r="S122"/>
      <c r="T122" s="820"/>
      <c r="U122" s="820"/>
      <c r="V122" s="820"/>
      <c r="W122" s="820"/>
      <c r="X122" s="820"/>
      <c r="Y122" s="820"/>
      <c r="Z122" s="820"/>
      <c r="AA122" s="820"/>
    </row>
    <row r="123" spans="1:27" ht="13.5" customHeight="1" thickBot="1" x14ac:dyDescent="0.3">
      <c r="A123" s="906" t="s">
        <v>694</v>
      </c>
      <c r="B123" s="878" t="s">
        <v>695</v>
      </c>
      <c r="C123" s="921">
        <v>287</v>
      </c>
      <c r="D123" s="921">
        <v>1085</v>
      </c>
      <c r="E123" s="921">
        <v>1160</v>
      </c>
      <c r="F123" s="921">
        <v>1715</v>
      </c>
      <c r="G123" s="921">
        <v>1960</v>
      </c>
      <c r="H123" s="921">
        <v>1345</v>
      </c>
      <c r="I123" s="921">
        <v>0.91500000000000004</v>
      </c>
      <c r="J123" s="921">
        <v>1.46</v>
      </c>
      <c r="K123" s="921">
        <v>1.22</v>
      </c>
      <c r="L123" s="921">
        <v>1.5249999999999999</v>
      </c>
      <c r="M123" s="922">
        <v>1.52</v>
      </c>
      <c r="N123" s="921" t="s">
        <v>673</v>
      </c>
      <c r="O123" s="995"/>
      <c r="P123"/>
      <c r="Q123"/>
      <c r="R123"/>
      <c r="S123"/>
      <c r="T123" s="820"/>
      <c r="U123" s="820"/>
      <c r="V123" s="820"/>
      <c r="W123" s="820"/>
      <c r="X123" s="820"/>
      <c r="Y123" s="820"/>
      <c r="Z123" s="820"/>
      <c r="AA123" s="820"/>
    </row>
    <row r="124" spans="1:27" s="850" customFormat="1" ht="13.5" customHeight="1" thickBot="1" x14ac:dyDescent="0.3">
      <c r="A124" s="1001" t="s">
        <v>696</v>
      </c>
      <c r="B124" s="1001"/>
      <c r="C124" s="1001"/>
      <c r="D124" s="1001"/>
      <c r="E124" s="1001"/>
      <c r="F124" s="1001"/>
      <c r="G124" s="1001"/>
      <c r="H124" s="1001"/>
      <c r="I124" s="1001"/>
      <c r="J124" s="1001"/>
      <c r="K124" s="1001"/>
      <c r="L124" s="1001"/>
      <c r="M124" s="1001"/>
      <c r="N124" s="1001"/>
      <c r="O124" s="1001"/>
      <c r="P124" s="847"/>
      <c r="Q124" s="847"/>
      <c r="R124" s="847"/>
      <c r="S124" s="847"/>
      <c r="T124" s="848"/>
      <c r="U124" s="848"/>
      <c r="V124" s="848"/>
      <c r="W124" s="848"/>
      <c r="X124" s="848"/>
      <c r="Y124" s="848"/>
      <c r="Z124" s="848"/>
      <c r="AA124" s="848"/>
    </row>
    <row r="125" spans="1:27" ht="17.25" customHeight="1" x14ac:dyDescent="0.25">
      <c r="A125" s="929" t="s">
        <v>697</v>
      </c>
      <c r="B125" s="930" t="s">
        <v>698</v>
      </c>
      <c r="C125" s="931">
        <v>524.41999999999996</v>
      </c>
      <c r="D125" s="931">
        <v>527.91</v>
      </c>
      <c r="E125" s="931">
        <v>513.04</v>
      </c>
      <c r="F125" s="931">
        <v>515.03</v>
      </c>
      <c r="G125" s="931">
        <v>532.79999999999995</v>
      </c>
      <c r="H125" s="932">
        <v>511.4</v>
      </c>
      <c r="I125" s="932">
        <v>523.66</v>
      </c>
      <c r="J125" s="932">
        <v>530.89</v>
      </c>
      <c r="K125" s="932">
        <v>523.57000000000005</v>
      </c>
      <c r="L125" s="932" t="s">
        <v>42</v>
      </c>
      <c r="M125" s="933"/>
      <c r="N125" s="931" t="s">
        <v>699</v>
      </c>
      <c r="O125" s="996" t="s">
        <v>700</v>
      </c>
      <c r="P125"/>
      <c r="Q125"/>
      <c r="R125"/>
      <c r="S125"/>
      <c r="T125" s="820" t="s">
        <v>701</v>
      </c>
      <c r="U125" s="820"/>
      <c r="V125" s="820"/>
      <c r="W125" s="820"/>
      <c r="X125" s="820"/>
      <c r="Y125" s="820"/>
      <c r="Z125" s="820"/>
      <c r="AA125" s="820"/>
    </row>
    <row r="126" spans="1:27" s="107" customFormat="1" ht="18.75" thickBot="1" x14ac:dyDescent="0.3">
      <c r="A126" s="934" t="s">
        <v>702</v>
      </c>
      <c r="B126" s="935" t="s">
        <v>703</v>
      </c>
      <c r="C126" s="936">
        <v>17322</v>
      </c>
      <c r="D126" s="936">
        <v>15452</v>
      </c>
      <c r="E126" s="936">
        <v>16524</v>
      </c>
      <c r="F126" s="936">
        <v>16416</v>
      </c>
      <c r="G126" s="936">
        <v>15009</v>
      </c>
      <c r="H126" s="937">
        <v>17197.93</v>
      </c>
      <c r="I126" s="937">
        <v>15679.88</v>
      </c>
      <c r="J126" s="937">
        <v>14843</v>
      </c>
      <c r="K126" s="937">
        <v>12513.24</v>
      </c>
      <c r="L126" s="937" t="s">
        <v>42</v>
      </c>
      <c r="M126" s="938"/>
      <c r="N126" s="920" t="s">
        <v>699</v>
      </c>
      <c r="O126" s="997"/>
      <c r="P126"/>
      <c r="Q126"/>
      <c r="R126"/>
      <c r="S126"/>
      <c r="T126" s="939"/>
      <c r="U126" s="939"/>
      <c r="V126" s="939"/>
      <c r="W126" s="939"/>
      <c r="X126" s="939"/>
      <c r="Y126" s="939"/>
      <c r="Z126" s="939"/>
      <c r="AA126" s="939"/>
    </row>
    <row r="127" spans="1:27" x14ac:dyDescent="0.25">
      <c r="A127" s="101"/>
      <c r="B127" s="101"/>
      <c r="C127" s="101"/>
      <c r="D127" s="101"/>
      <c r="E127" s="101"/>
      <c r="F127" s="101"/>
      <c r="G127" s="101"/>
      <c r="H127" s="101"/>
      <c r="I127" s="101"/>
      <c r="J127" s="101"/>
      <c r="K127" s="101"/>
      <c r="L127" s="101"/>
      <c r="M127" s="101"/>
      <c r="N127" s="101"/>
      <c r="O127" s="101"/>
      <c r="T127" s="820"/>
      <c r="U127" s="820"/>
      <c r="V127" s="820"/>
      <c r="W127" s="820"/>
      <c r="X127" s="820"/>
      <c r="Y127" s="820"/>
      <c r="Z127" s="820"/>
      <c r="AA127" s="820"/>
    </row>
    <row r="128" spans="1:27" x14ac:dyDescent="0.25">
      <c r="C128" s="940"/>
      <c r="D128" s="940"/>
      <c r="E128" s="940"/>
      <c r="F128" s="940"/>
      <c r="G128" s="940"/>
      <c r="T128" s="820"/>
      <c r="U128" s="820"/>
      <c r="V128" s="820"/>
      <c r="W128" s="820"/>
      <c r="X128" s="820"/>
      <c r="Y128" s="820"/>
      <c r="Z128" s="820"/>
      <c r="AA128" s="820"/>
    </row>
    <row r="129" spans="20:27" x14ac:dyDescent="0.25">
      <c r="T129" s="820"/>
      <c r="U129" s="820"/>
      <c r="V129" s="820"/>
      <c r="W129" s="820"/>
      <c r="X129" s="820"/>
      <c r="Y129" s="820"/>
      <c r="Z129" s="820"/>
      <c r="AA129" s="820"/>
    </row>
    <row r="130" spans="20:27" x14ac:dyDescent="0.25">
      <c r="T130" s="820"/>
      <c r="U130" s="820"/>
      <c r="V130" s="820"/>
      <c r="W130" s="820"/>
      <c r="X130" s="820"/>
      <c r="Y130" s="820"/>
      <c r="Z130" s="820"/>
      <c r="AA130" s="820"/>
    </row>
    <row r="131" spans="20:27" x14ac:dyDescent="0.25">
      <c r="T131" s="820"/>
      <c r="U131" s="820"/>
      <c r="V131" s="820"/>
      <c r="W131" s="820"/>
      <c r="X131" s="820"/>
      <c r="Y131" s="820"/>
      <c r="Z131" s="820"/>
      <c r="AA131" s="820"/>
    </row>
    <row r="132" spans="20:27" x14ac:dyDescent="0.25">
      <c r="T132" s="820"/>
      <c r="U132" s="820"/>
      <c r="V132" s="820"/>
      <c r="W132" s="820"/>
      <c r="X132" s="820"/>
      <c r="Y132" s="820"/>
      <c r="Z132" s="820"/>
      <c r="AA132" s="820"/>
    </row>
    <row r="133" spans="20:27" x14ac:dyDescent="0.25">
      <c r="T133" s="820"/>
      <c r="U133" s="820"/>
      <c r="V133" s="820"/>
      <c r="W133" s="820"/>
      <c r="X133" s="820"/>
      <c r="Y133" s="820"/>
      <c r="Z133" s="820"/>
      <c r="AA133" s="820"/>
    </row>
    <row r="134" spans="20:27" x14ac:dyDescent="0.25">
      <c r="T134" s="820"/>
      <c r="U134" s="820"/>
      <c r="V134" s="820"/>
      <c r="W134" s="820"/>
      <c r="X134" s="820"/>
      <c r="Y134" s="820"/>
      <c r="Z134" s="820"/>
      <c r="AA134" s="820"/>
    </row>
    <row r="135" spans="20:27" x14ac:dyDescent="0.25">
      <c r="T135" s="820"/>
      <c r="U135" s="820"/>
      <c r="V135" s="820"/>
      <c r="W135" s="820"/>
      <c r="X135" s="820"/>
      <c r="Y135" s="820"/>
      <c r="Z135" s="820"/>
      <c r="AA135" s="820"/>
    </row>
    <row r="136" spans="20:27" x14ac:dyDescent="0.25">
      <c r="T136" s="820"/>
      <c r="U136" s="820"/>
      <c r="V136" s="820"/>
      <c r="W136" s="820"/>
      <c r="X136" s="820"/>
      <c r="Y136" s="820"/>
      <c r="Z136" s="820"/>
      <c r="AA136" s="820"/>
    </row>
    <row r="137" spans="20:27" x14ac:dyDescent="0.25">
      <c r="T137" s="820"/>
      <c r="U137" s="820"/>
      <c r="V137" s="820"/>
      <c r="W137" s="820"/>
      <c r="X137" s="820"/>
      <c r="Y137" s="820"/>
      <c r="Z137" s="820"/>
      <c r="AA137" s="820"/>
    </row>
    <row r="138" spans="20:27" x14ac:dyDescent="0.25">
      <c r="T138" s="820"/>
      <c r="U138" s="820"/>
      <c r="V138" s="820"/>
      <c r="W138" s="820"/>
      <c r="X138" s="820"/>
      <c r="Y138" s="820"/>
      <c r="Z138" s="820"/>
      <c r="AA138" s="820"/>
    </row>
    <row r="139" spans="20:27" x14ac:dyDescent="0.25">
      <c r="T139" s="820"/>
      <c r="U139" s="820"/>
      <c r="V139" s="820"/>
      <c r="W139" s="820"/>
      <c r="X139" s="820"/>
      <c r="Y139" s="820"/>
      <c r="Z139" s="820"/>
      <c r="AA139" s="820"/>
    </row>
    <row r="140" spans="20:27" x14ac:dyDescent="0.25">
      <c r="T140" s="820"/>
      <c r="U140" s="820"/>
      <c r="V140" s="820"/>
      <c r="W140" s="820"/>
      <c r="X140" s="820"/>
      <c r="Y140" s="820"/>
      <c r="Z140" s="820"/>
      <c r="AA140" s="820"/>
    </row>
    <row r="141" spans="20:27" x14ac:dyDescent="0.25">
      <c r="T141" s="820"/>
      <c r="U141" s="820"/>
      <c r="V141" s="820"/>
      <c r="W141" s="820"/>
      <c r="X141" s="820"/>
      <c r="Y141" s="820"/>
      <c r="Z141" s="820"/>
      <c r="AA141" s="820"/>
    </row>
    <row r="142" spans="20:27" x14ac:dyDescent="0.25">
      <c r="T142" s="820"/>
      <c r="U142" s="820"/>
      <c r="V142" s="820"/>
      <c r="W142" s="820"/>
      <c r="X142" s="820"/>
      <c r="Y142" s="820"/>
      <c r="Z142" s="820"/>
      <c r="AA142" s="820"/>
    </row>
    <row r="143" spans="20:27" x14ac:dyDescent="0.25">
      <c r="T143" s="820"/>
      <c r="U143" s="820"/>
      <c r="V143" s="820"/>
      <c r="W143" s="820"/>
      <c r="X143" s="820"/>
      <c r="Y143" s="820"/>
      <c r="Z143" s="820"/>
      <c r="AA143" s="820"/>
    </row>
    <row r="144" spans="20:27" x14ac:dyDescent="0.25">
      <c r="T144" s="820"/>
      <c r="U144" s="820"/>
      <c r="V144" s="820"/>
      <c r="W144" s="820"/>
      <c r="X144" s="820"/>
      <c r="Y144" s="820"/>
      <c r="Z144" s="820"/>
      <c r="AA144" s="820"/>
    </row>
  </sheetData>
  <sheetProtection selectLockedCells="1" selectUnlockedCells="1"/>
  <mergeCells count="49">
    <mergeCell ref="O14:O15"/>
    <mergeCell ref="O19:O20"/>
    <mergeCell ref="O94:O98"/>
    <mergeCell ref="O108:O109"/>
    <mergeCell ref="O52:O53"/>
    <mergeCell ref="O22:O27"/>
    <mergeCell ref="O16:O17"/>
    <mergeCell ref="O60:O67"/>
    <mergeCell ref="O69:O72"/>
    <mergeCell ref="O83:O84"/>
    <mergeCell ref="O89:O92"/>
    <mergeCell ref="O77:O78"/>
    <mergeCell ref="A43:O43"/>
    <mergeCell ref="A79:O79"/>
    <mergeCell ref="A124:O124"/>
    <mergeCell ref="A88:O88"/>
    <mergeCell ref="A93:O93"/>
    <mergeCell ref="A100:O100"/>
    <mergeCell ref="A101:O101"/>
    <mergeCell ref="A104:O104"/>
    <mergeCell ref="A107:O107"/>
    <mergeCell ref="A102:O102"/>
    <mergeCell ref="A103:O103"/>
    <mergeCell ref="O45:O48"/>
    <mergeCell ref="O57:O58"/>
    <mergeCell ref="C105:M105"/>
    <mergeCell ref="T52:Y52"/>
    <mergeCell ref="A49:O49"/>
    <mergeCell ref="A74:O74"/>
    <mergeCell ref="T54:Y54"/>
    <mergeCell ref="T55:U55"/>
    <mergeCell ref="A73:O73"/>
    <mergeCell ref="A86:O86"/>
    <mergeCell ref="A4:O4"/>
    <mergeCell ref="A13:O13"/>
    <mergeCell ref="C11:L11"/>
    <mergeCell ref="O111:O123"/>
    <mergeCell ref="O125:O126"/>
    <mergeCell ref="A29:O29"/>
    <mergeCell ref="A110:O110"/>
    <mergeCell ref="A59:O59"/>
    <mergeCell ref="A30:D30"/>
    <mergeCell ref="A56:O56"/>
    <mergeCell ref="A44:O44"/>
    <mergeCell ref="A85:O85"/>
    <mergeCell ref="A80:O80"/>
    <mergeCell ref="A68:O68"/>
    <mergeCell ref="A82:O82"/>
    <mergeCell ref="O33:O42"/>
  </mergeCells>
  <phoneticPr fontId="33" type="noConversion"/>
  <hyperlinks>
    <hyperlink ref="E1" location="Índice!A1" display="ir a índice" xr:uid="{2B40280B-2C07-423A-8AAA-A5D14E8C2006}"/>
    <hyperlink ref="M1" location="Índice!A1" display="ir a índice" xr:uid="{4646689A-7F86-44C4-8E04-CA8E0CF991F1}"/>
  </hyperlinks>
  <printOptions horizontalCentered="1"/>
  <pageMargins left="3.937007874015748E-2" right="0" top="0.35433070866141736" bottom="0.15748031496062992" header="0.11811023622047245" footer="0.11811023622047245"/>
  <pageSetup paperSize="8" scale="99" firstPageNumber="0" fitToHeight="0" orientation="landscape" horizontalDpi="300" verticalDpi="3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9">
    <tabColor rgb="FFBF8B2E"/>
    <pageSetUpPr fitToPage="1"/>
  </sheetPr>
  <dimension ref="A1:AG120"/>
  <sheetViews>
    <sheetView zoomScaleNormal="100" workbookViewId="0">
      <pane xSplit="9" ySplit="4" topLeftCell="K5" activePane="bottomRight" state="frozen"/>
      <selection activeCell="M1" sqref="M1"/>
      <selection pane="topRight" activeCell="M1" sqref="M1"/>
      <selection pane="bottomLeft" activeCell="M1" sqref="M1"/>
      <selection pane="bottomRight" activeCell="Q14" sqref="Q14"/>
    </sheetView>
  </sheetViews>
  <sheetFormatPr baseColWidth="10" defaultColWidth="11.42578125" defaultRowHeight="12" x14ac:dyDescent="0.25"/>
  <cols>
    <col min="1" max="1" width="11" style="195" customWidth="1"/>
    <col min="2" max="2" width="59.28515625" style="132" customWidth="1"/>
    <col min="3" max="3" width="24.140625" style="132" customWidth="1"/>
    <col min="4" max="4" width="23" style="132" hidden="1" customWidth="1"/>
    <col min="5" max="5" width="12.85546875" style="131" customWidth="1"/>
    <col min="6" max="7" width="11.5703125" style="131" hidden="1" customWidth="1"/>
    <col min="8" max="9" width="11.28515625" style="131" hidden="1" customWidth="1"/>
    <col min="10" max="10" width="12.42578125" style="131" hidden="1" customWidth="1"/>
    <col min="11" max="15" width="13.140625" style="131" customWidth="1"/>
    <col min="16" max="16" width="9.7109375" style="132" customWidth="1"/>
    <col min="17" max="17" width="24.42578125" style="132" customWidth="1"/>
    <col min="18" max="18" width="19.5703125" style="132" customWidth="1"/>
    <col min="19" max="19" width="14.140625" style="132" customWidth="1"/>
    <col min="20" max="20" width="14.5703125" style="132" customWidth="1"/>
    <col min="21" max="21" width="15" style="132" customWidth="1"/>
    <col min="22" max="22" width="11.42578125" style="132" customWidth="1"/>
    <col min="23" max="23" width="12" style="132" customWidth="1"/>
    <col min="24" max="24" width="11.42578125" style="132"/>
    <col min="25" max="25" width="12" style="132" customWidth="1"/>
    <col min="26" max="26" width="11.42578125" style="132"/>
    <col min="27" max="27" width="12" style="132" customWidth="1"/>
    <col min="28" max="16384" width="11.42578125" style="132"/>
  </cols>
  <sheetData>
    <row r="1" spans="1:27" ht="12" customHeight="1" x14ac:dyDescent="0.25">
      <c r="A1" s="555" t="s">
        <v>1224</v>
      </c>
      <c r="B1" s="555"/>
      <c r="C1" s="555"/>
      <c r="D1" s="555"/>
      <c r="E1" s="942" t="s">
        <v>1230</v>
      </c>
      <c r="F1" s="555"/>
      <c r="G1" s="555"/>
      <c r="H1" s="555"/>
      <c r="I1" s="555"/>
      <c r="J1" s="555"/>
      <c r="K1" s="555"/>
      <c r="L1" s="555"/>
      <c r="M1" s="942" t="s">
        <v>1230</v>
      </c>
      <c r="N1" s="555"/>
      <c r="O1" s="555"/>
      <c r="P1" s="555"/>
    </row>
    <row r="2" spans="1:27" ht="12" customHeight="1" thickBot="1" x14ac:dyDescent="0.3">
      <c r="A2" s="555" t="s">
        <v>91</v>
      </c>
      <c r="B2" s="272"/>
      <c r="C2" s="272"/>
      <c r="D2" s="272"/>
      <c r="E2" s="272"/>
      <c r="F2" s="272"/>
      <c r="G2" s="272"/>
      <c r="H2" s="272"/>
      <c r="I2" s="272"/>
      <c r="J2" s="272"/>
      <c r="K2" s="272"/>
      <c r="L2" s="272"/>
      <c r="M2" s="272"/>
      <c r="N2" s="272"/>
      <c r="O2" s="272"/>
      <c r="P2" s="272"/>
      <c r="Q2" s="272"/>
    </row>
    <row r="3" spans="1:27" s="133" customFormat="1" ht="18" customHeight="1" thickBot="1" x14ac:dyDescent="0.3">
      <c r="A3" s="1078" t="s">
        <v>455</v>
      </c>
      <c r="B3" s="1079" t="s">
        <v>0</v>
      </c>
      <c r="C3" s="1079" t="s">
        <v>704</v>
      </c>
      <c r="D3" s="1079" t="s">
        <v>705</v>
      </c>
      <c r="E3" s="1079" t="s">
        <v>706</v>
      </c>
      <c r="F3" s="1079" t="s">
        <v>707</v>
      </c>
      <c r="G3" s="1079" t="s">
        <v>708</v>
      </c>
      <c r="H3" s="1079" t="s">
        <v>709</v>
      </c>
      <c r="I3" s="1079" t="s">
        <v>710</v>
      </c>
      <c r="J3" s="1079" t="s">
        <v>711</v>
      </c>
      <c r="K3" s="1079" t="s">
        <v>712</v>
      </c>
      <c r="L3" s="1079" t="s">
        <v>713</v>
      </c>
      <c r="M3" s="1079" t="s">
        <v>714</v>
      </c>
      <c r="N3" s="1035" t="s">
        <v>715</v>
      </c>
      <c r="O3" s="1035" t="s">
        <v>716</v>
      </c>
      <c r="P3" s="1080" t="s">
        <v>717</v>
      </c>
      <c r="Q3" s="148"/>
    </row>
    <row r="4" spans="1:27" s="133" customFormat="1" ht="13.5" customHeight="1" thickBot="1" x14ac:dyDescent="0.3">
      <c r="A4" s="1078"/>
      <c r="B4" s="1079"/>
      <c r="C4" s="1079"/>
      <c r="D4" s="1079"/>
      <c r="E4" s="1079"/>
      <c r="F4" s="1079"/>
      <c r="G4" s="1079"/>
      <c r="H4" s="1079"/>
      <c r="I4" s="1079"/>
      <c r="J4" s="1079"/>
      <c r="K4" s="1079"/>
      <c r="L4" s="1079"/>
      <c r="M4" s="1079"/>
      <c r="N4" s="1036"/>
      <c r="O4" s="1036"/>
      <c r="P4" s="1081"/>
      <c r="Q4" s="149"/>
    </row>
    <row r="5" spans="1:27" ht="26.25" customHeight="1" thickBot="1" x14ac:dyDescent="0.3">
      <c r="A5" s="1026" t="s">
        <v>718</v>
      </c>
      <c r="B5" s="1026"/>
      <c r="C5" s="1026"/>
      <c r="D5" s="1026"/>
      <c r="E5" s="1026"/>
      <c r="F5" s="351"/>
      <c r="G5" s="351"/>
      <c r="H5" s="351"/>
      <c r="I5" s="352"/>
      <c r="J5" s="352"/>
      <c r="K5" s="352"/>
      <c r="L5" s="352"/>
      <c r="M5" s="352"/>
      <c r="N5" s="352"/>
      <c r="O5" s="352"/>
      <c r="P5" s="353"/>
      <c r="Q5" s="149"/>
      <c r="R5" s="133"/>
      <c r="S5" s="270"/>
      <c r="T5" s="134"/>
    </row>
    <row r="6" spans="1:27" s="133" customFormat="1" ht="40.5" customHeight="1" x14ac:dyDescent="0.25">
      <c r="A6" s="354" t="s">
        <v>719</v>
      </c>
      <c r="B6" s="355" t="s">
        <v>720</v>
      </c>
      <c r="C6" s="356" t="s">
        <v>721</v>
      </c>
      <c r="D6" s="356" t="s">
        <v>722</v>
      </c>
      <c r="E6" s="357">
        <v>128.77000000000001</v>
      </c>
      <c r="F6" s="358">
        <v>118.13</v>
      </c>
      <c r="G6" s="358">
        <v>124.96</v>
      </c>
      <c r="H6" s="358">
        <v>128.28766436723745</v>
      </c>
      <c r="I6" s="359">
        <v>106.91</v>
      </c>
      <c r="J6" s="359">
        <v>121.39431767336276</v>
      </c>
      <c r="K6" s="360">
        <v>100.86630491541864</v>
      </c>
      <c r="L6" s="361">
        <v>93.622146654322464</v>
      </c>
      <c r="M6" s="357">
        <f>2793174*1000/35521579</f>
        <v>78.633159860376708</v>
      </c>
      <c r="N6" s="362">
        <f>2978287*1000/38159471</f>
        <v>78.04843521022606</v>
      </c>
      <c r="O6" s="362">
        <f>3103809*1000/41762830</f>
        <v>74.319891635696138</v>
      </c>
      <c r="P6" s="293" t="s">
        <v>722</v>
      </c>
      <c r="Q6" s="148"/>
      <c r="S6" s="272"/>
      <c r="T6" s="236"/>
    </row>
    <row r="7" spans="1:27" s="133" customFormat="1" ht="48" customHeight="1" thickBot="1" x14ac:dyDescent="0.3">
      <c r="A7" s="294" t="s">
        <v>723</v>
      </c>
      <c r="B7" s="363" t="s">
        <v>724</v>
      </c>
      <c r="C7" s="364" t="s">
        <v>725</v>
      </c>
      <c r="D7" s="295" t="s">
        <v>726</v>
      </c>
      <c r="E7" s="365" t="str">
        <f>"Ha crecido un 23,8%"</f>
        <v>Ha crecido un 23,8%</v>
      </c>
      <c r="F7" s="365" t="str">
        <f>"Ha crecido un 11,3%"</f>
        <v>Ha crecido un 11,3%</v>
      </c>
      <c r="G7" s="365" t="str">
        <f>"Ha crecido un 17,7%"</f>
        <v>Ha crecido un 17,7%</v>
      </c>
      <c r="H7" s="365" t="str">
        <f>"Ha crecido un 24,4%"</f>
        <v>Ha crecido un 24,4%</v>
      </c>
      <c r="I7" s="365" t="str">
        <f>"Ha crecido un 6,3%"</f>
        <v>Ha crecido un 6,3%</v>
      </c>
      <c r="J7" s="365" t="s">
        <v>8</v>
      </c>
      <c r="K7" s="366" t="s">
        <v>9</v>
      </c>
      <c r="L7" s="296" t="s">
        <v>22</v>
      </c>
      <c r="M7" s="267" t="s">
        <v>10</v>
      </c>
      <c r="N7" s="267" t="s">
        <v>11</v>
      </c>
      <c r="O7" s="268" t="s">
        <v>12</v>
      </c>
      <c r="P7" s="297" t="s">
        <v>727</v>
      </c>
      <c r="Q7" s="153"/>
      <c r="R7" s="246"/>
      <c r="S7" s="271"/>
      <c r="AA7" s="136"/>
    </row>
    <row r="8" spans="1:27" s="133" customFormat="1" ht="42" customHeight="1" thickBot="1" x14ac:dyDescent="0.3">
      <c r="A8" s="367" t="s">
        <v>728</v>
      </c>
      <c r="B8" s="368" t="s">
        <v>729</v>
      </c>
      <c r="C8" s="369" t="s">
        <v>721</v>
      </c>
      <c r="D8" s="370" t="s">
        <v>722</v>
      </c>
      <c r="E8" s="371">
        <v>76.459999999999994</v>
      </c>
      <c r="F8" s="372">
        <v>76.88</v>
      </c>
      <c r="G8" s="372">
        <v>72.760000000000005</v>
      </c>
      <c r="H8" s="372">
        <v>76.099999999999994</v>
      </c>
      <c r="I8" s="298">
        <v>71.98</v>
      </c>
      <c r="J8" s="373">
        <v>72.274841997671359</v>
      </c>
      <c r="K8" s="374">
        <v>68.903233918352697</v>
      </c>
      <c r="L8" s="299">
        <v>76.154134031352612</v>
      </c>
      <c r="M8" s="357">
        <f>2641954*1000/35521579</f>
        <v>74.376029286310725</v>
      </c>
      <c r="N8" s="362">
        <f>2918998*1000/38159471</f>
        <v>76.4947187029925</v>
      </c>
      <c r="O8" s="362">
        <f>2999901*1000/41762830</f>
        <v>71.831841855544752</v>
      </c>
      <c r="P8" s="300" t="s">
        <v>504</v>
      </c>
      <c r="Q8" s="148"/>
      <c r="R8" s="152"/>
    </row>
    <row r="9" spans="1:27" s="133" customFormat="1" ht="91.5" customHeight="1" thickBot="1" x14ac:dyDescent="0.3">
      <c r="A9" s="301" t="s">
        <v>730</v>
      </c>
      <c r="B9" s="302" t="s">
        <v>731</v>
      </c>
      <c r="C9" s="375" t="s">
        <v>732</v>
      </c>
      <c r="D9" s="295" t="s">
        <v>726</v>
      </c>
      <c r="E9" s="303" t="s">
        <v>15</v>
      </c>
      <c r="F9" s="304" t="s">
        <v>733</v>
      </c>
      <c r="G9" s="304" t="s">
        <v>734</v>
      </c>
      <c r="H9" s="303" t="s">
        <v>15</v>
      </c>
      <c r="I9" s="304" t="s">
        <v>12</v>
      </c>
      <c r="J9" s="303" t="s">
        <v>735</v>
      </c>
      <c r="K9" s="305" t="s">
        <v>21</v>
      </c>
      <c r="L9" s="376" t="s">
        <v>32</v>
      </c>
      <c r="M9" s="268" t="s">
        <v>22</v>
      </c>
      <c r="N9" s="222" t="s">
        <v>23</v>
      </c>
      <c r="O9" s="222" t="s">
        <v>24</v>
      </c>
      <c r="P9" s="377" t="s">
        <v>727</v>
      </c>
      <c r="Q9" s="152"/>
      <c r="R9" s="191"/>
      <c r="S9" s="261"/>
    </row>
    <row r="10" spans="1:27" ht="20.25" customHeight="1" thickBot="1" x14ac:dyDescent="0.3">
      <c r="A10" s="1022" t="s">
        <v>736</v>
      </c>
      <c r="B10" s="1022"/>
      <c r="C10" s="1022"/>
      <c r="D10" s="1022"/>
      <c r="E10" s="1022"/>
      <c r="F10" s="1022"/>
      <c r="G10" s="1022"/>
      <c r="H10" s="1022"/>
      <c r="I10" s="1022"/>
      <c r="J10" s="1022"/>
      <c r="K10" s="1022"/>
      <c r="L10" s="1023"/>
      <c r="M10" s="1023"/>
      <c r="N10" s="1023"/>
      <c r="O10" s="1023"/>
      <c r="P10" s="1023"/>
    </row>
    <row r="11" spans="1:27" ht="84.75" thickBot="1" x14ac:dyDescent="0.3">
      <c r="A11" s="378" t="s">
        <v>737</v>
      </c>
      <c r="B11" s="379" t="s">
        <v>738</v>
      </c>
      <c r="C11" s="375" t="s">
        <v>732</v>
      </c>
      <c r="D11" s="295" t="s">
        <v>726</v>
      </c>
      <c r="E11" s="380" t="s">
        <v>739</v>
      </c>
      <c r="F11" s="381" t="s">
        <v>740</v>
      </c>
      <c r="G11" s="381" t="s">
        <v>741</v>
      </c>
      <c r="H11" s="381" t="s">
        <v>739</v>
      </c>
      <c r="I11" s="382" t="s">
        <v>742</v>
      </c>
      <c r="J11" s="382" t="s">
        <v>743</v>
      </c>
      <c r="K11" s="383" t="s">
        <v>744</v>
      </c>
      <c r="L11" s="384" t="s">
        <v>744</v>
      </c>
      <c r="M11" s="385" t="s">
        <v>745</v>
      </c>
      <c r="N11" s="385" t="s">
        <v>746</v>
      </c>
      <c r="O11" s="385" t="s">
        <v>743</v>
      </c>
      <c r="P11" s="386" t="s">
        <v>727</v>
      </c>
      <c r="Q11" s="188"/>
      <c r="R11" s="555"/>
      <c r="S11" s="189"/>
      <c r="T11" s="189"/>
      <c r="U11" s="189"/>
      <c r="V11" s="190"/>
      <c r="W11" s="306"/>
      <c r="X11" s="306"/>
      <c r="Y11" s="306"/>
      <c r="Z11" s="307"/>
      <c r="AA11" s="307"/>
    </row>
    <row r="12" spans="1:27" ht="20.25" customHeight="1" thickBot="1" x14ac:dyDescent="0.3">
      <c r="A12" s="1022" t="s">
        <v>747</v>
      </c>
      <c r="B12" s="1022"/>
      <c r="C12" s="1022"/>
      <c r="D12" s="1022"/>
      <c r="E12" s="1022"/>
      <c r="F12" s="1022"/>
      <c r="G12" s="1022"/>
      <c r="H12" s="1022"/>
      <c r="I12" s="1022"/>
      <c r="J12" s="1022"/>
      <c r="K12" s="1022"/>
      <c r="L12" s="1023"/>
      <c r="M12" s="1023"/>
      <c r="N12" s="1023"/>
      <c r="O12" s="1023"/>
      <c r="P12" s="1023"/>
      <c r="Q12" s="137"/>
      <c r="S12" s="133"/>
    </row>
    <row r="13" spans="1:27" s="139" customFormat="1" ht="104.25" customHeight="1" thickBot="1" x14ac:dyDescent="0.3">
      <c r="A13" s="354" t="s">
        <v>748</v>
      </c>
      <c r="B13" s="355" t="s">
        <v>749</v>
      </c>
      <c r="C13" s="375" t="s">
        <v>732</v>
      </c>
      <c r="D13" s="295" t="s">
        <v>726</v>
      </c>
      <c r="E13" s="387" t="s">
        <v>750</v>
      </c>
      <c r="F13" s="388" t="s">
        <v>751</v>
      </c>
      <c r="G13" s="389" t="s">
        <v>752</v>
      </c>
      <c r="H13" s="390" t="s">
        <v>753</v>
      </c>
      <c r="I13" s="391" t="s">
        <v>754</v>
      </c>
      <c r="J13" s="391" t="s">
        <v>755</v>
      </c>
      <c r="K13" s="391" t="s">
        <v>756</v>
      </c>
      <c r="L13" s="391" t="s">
        <v>757</v>
      </c>
      <c r="M13" s="392" t="s">
        <v>758</v>
      </c>
      <c r="N13" s="393" t="s">
        <v>759</v>
      </c>
      <c r="O13" s="393" t="s">
        <v>760</v>
      </c>
      <c r="P13" s="394" t="s">
        <v>727</v>
      </c>
      <c r="Q13" s="151"/>
      <c r="R13" s="138"/>
      <c r="S13" s="245"/>
      <c r="T13" s="245"/>
      <c r="U13" s="245"/>
      <c r="V13" s="245"/>
      <c r="W13" s="245"/>
    </row>
    <row r="14" spans="1:27" s="133" customFormat="1" ht="36.75" thickBot="1" x14ac:dyDescent="0.3">
      <c r="A14" s="301" t="s">
        <v>761</v>
      </c>
      <c r="B14" s="302" t="s">
        <v>762</v>
      </c>
      <c r="C14" s="295" t="s">
        <v>721</v>
      </c>
      <c r="D14" s="295" t="s">
        <v>722</v>
      </c>
      <c r="E14" s="308">
        <v>11.8333009610103</v>
      </c>
      <c r="F14" s="309">
        <v>13.476598404922985</v>
      </c>
      <c r="G14" s="310">
        <v>12.12</v>
      </c>
      <c r="H14" s="309">
        <v>16.546158847485842</v>
      </c>
      <c r="I14" s="311">
        <f>'Tabla 1.5-31 a 49'!G75*1000/34368134</f>
        <v>10.776797017842167</v>
      </c>
      <c r="J14" s="311">
        <f>'Tabla 1.5-31 a 49'!H75*1000/36379698</f>
        <v>11.66152585983534</v>
      </c>
      <c r="K14" s="311">
        <v>12.915292692702609</v>
      </c>
      <c r="L14" s="311">
        <v>13.57</v>
      </c>
      <c r="M14" s="311">
        <v>15.61</v>
      </c>
      <c r="N14" s="311">
        <v>19.178611520922441</v>
      </c>
      <c r="O14" s="311">
        <f>'Tabla 1.5-31 a 49'!M75*1000/41763000</f>
        <v>16.799153317529871</v>
      </c>
      <c r="P14" s="395" t="s">
        <v>722</v>
      </c>
      <c r="Q14" s="148" t="s">
        <v>763</v>
      </c>
      <c r="R14" s="138" t="s">
        <v>764</v>
      </c>
    </row>
    <row r="15" spans="1:27" s="133" customFormat="1" ht="12.75" thickBot="1" x14ac:dyDescent="0.3">
      <c r="A15" s="1075" t="s">
        <v>765</v>
      </c>
      <c r="B15" s="1076"/>
      <c r="C15" s="1076"/>
      <c r="D15" s="1076"/>
      <c r="E15" s="1076"/>
      <c r="F15" s="1076"/>
      <c r="G15" s="1076"/>
      <c r="H15" s="1076"/>
      <c r="I15" s="1076"/>
      <c r="J15" s="1076"/>
      <c r="K15" s="1076"/>
      <c r="L15" s="1076"/>
      <c r="M15" s="1076"/>
      <c r="N15" s="1076"/>
      <c r="O15" s="1076"/>
      <c r="P15" s="1077"/>
      <c r="Q15" s="148"/>
      <c r="R15" s="138"/>
    </row>
    <row r="16" spans="1:27" ht="20.25" customHeight="1" thickBot="1" x14ac:dyDescent="0.3">
      <c r="A16" s="1023" t="s">
        <v>766</v>
      </c>
      <c r="B16" s="1023"/>
      <c r="C16" s="1023"/>
      <c r="D16" s="1023"/>
      <c r="E16" s="1023"/>
      <c r="F16" s="1023"/>
      <c r="G16" s="1023"/>
      <c r="H16" s="1023"/>
      <c r="I16" s="1023"/>
      <c r="J16" s="1023"/>
      <c r="K16" s="1023"/>
      <c r="L16" s="1074"/>
      <c r="M16" s="1074"/>
      <c r="N16" s="1074"/>
      <c r="O16" s="1074"/>
      <c r="P16" s="1074"/>
      <c r="S16" s="133"/>
    </row>
    <row r="17" spans="1:24" s="131" customFormat="1" ht="84" x14ac:dyDescent="0.25">
      <c r="A17" s="378" t="s">
        <v>767</v>
      </c>
      <c r="B17" s="379" t="s">
        <v>768</v>
      </c>
      <c r="C17" s="375" t="s">
        <v>769</v>
      </c>
      <c r="D17" s="375" t="s">
        <v>770</v>
      </c>
      <c r="E17" s="396" t="str">
        <f>"Ha crecido un 50%"</f>
        <v>Ha crecido un 50%</v>
      </c>
      <c r="F17" s="397" t="str">
        <f>"Ha crecido un  28,7%"</f>
        <v>Ha crecido un  28,7%</v>
      </c>
      <c r="G17" s="397" t="str">
        <f>"Ha crecido un  66,5%"</f>
        <v>Ha crecido un  66,5%</v>
      </c>
      <c r="H17" s="397" t="str">
        <f>"Ha crecido un  69,6%"</f>
        <v>Ha crecido un  69,6%</v>
      </c>
      <c r="I17" s="398" t="str">
        <f>"Ha crecido un  45,4%"</f>
        <v>Ha crecido un  45,4%</v>
      </c>
      <c r="J17" s="398" t="s">
        <v>771</v>
      </c>
      <c r="K17" s="399" t="s">
        <v>772</v>
      </c>
      <c r="L17" s="400" t="s">
        <v>773</v>
      </c>
      <c r="M17" s="401"/>
      <c r="N17" s="402"/>
      <c r="O17" s="402"/>
      <c r="P17" s="403"/>
      <c r="Q17" s="148"/>
      <c r="R17" s="135"/>
      <c r="S17" s="262"/>
      <c r="U17" s="140"/>
      <c r="V17" s="140"/>
      <c r="W17" s="140"/>
    </row>
    <row r="18" spans="1:24" s="131" customFormat="1" ht="84" x14ac:dyDescent="0.25">
      <c r="A18" s="404" t="s">
        <v>774</v>
      </c>
      <c r="B18" s="405" t="s">
        <v>775</v>
      </c>
      <c r="C18" s="370" t="s">
        <v>769</v>
      </c>
      <c r="D18" s="370" t="s">
        <v>770</v>
      </c>
      <c r="E18" s="406" t="str">
        <f>"Ha crecido un 152,8%"</f>
        <v>Ha crecido un 152,8%</v>
      </c>
      <c r="F18" s="406" t="str">
        <f>"Ha crecido un 95,3%"</f>
        <v>Ha crecido un 95,3%</v>
      </c>
      <c r="G18" s="406" t="str">
        <f>"Ha crecido un 147,1%"</f>
        <v>Ha crecido un 147,1%</v>
      </c>
      <c r="H18" s="406" t="str">
        <f>"Ha crecido un 154,3%"</f>
        <v>Ha crecido un 154,3%</v>
      </c>
      <c r="I18" s="406" t="str">
        <f>"Ha crecido un 77,3%"</f>
        <v>Ha crecido un 77,3%</v>
      </c>
      <c r="J18" s="406" t="s">
        <v>776</v>
      </c>
      <c r="K18" s="407" t="s">
        <v>777</v>
      </c>
      <c r="L18" s="312" t="s">
        <v>778</v>
      </c>
      <c r="M18" s="408"/>
      <c r="N18" s="409"/>
      <c r="O18" s="409"/>
      <c r="P18" s="410"/>
      <c r="Q18" s="148"/>
      <c r="R18" s="135"/>
      <c r="S18" s="262"/>
      <c r="T18" s="141"/>
      <c r="U18" s="141"/>
      <c r="V18" s="141"/>
    </row>
    <row r="19" spans="1:24" s="131" customFormat="1" ht="84.75" thickBot="1" x14ac:dyDescent="0.3">
      <c r="A19" s="301" t="s">
        <v>779</v>
      </c>
      <c r="B19" s="302" t="s">
        <v>780</v>
      </c>
      <c r="C19" s="295" t="s">
        <v>769</v>
      </c>
      <c r="D19" s="295" t="s">
        <v>770</v>
      </c>
      <c r="E19" s="313" t="str">
        <f>"Ha crecido un 2,0%"</f>
        <v>Ha crecido un 2,0%</v>
      </c>
      <c r="F19" s="314" t="s">
        <v>781</v>
      </c>
      <c r="G19" s="315" t="str">
        <f>"Ha crecido un 28,8%"</f>
        <v>Ha crecido un 28,8%</v>
      </c>
      <c r="H19" s="314" t="str">
        <f>"Ha crecido un 30,0%"</f>
        <v>Ha crecido un 30,0%</v>
      </c>
      <c r="I19" s="314" t="str">
        <f>"Ha crecido un 30,5%"</f>
        <v>Ha crecido un 30,5%</v>
      </c>
      <c r="J19" s="314" t="s">
        <v>782</v>
      </c>
      <c r="K19" s="316" t="s">
        <v>783</v>
      </c>
      <c r="L19" s="411" t="s">
        <v>784</v>
      </c>
      <c r="M19" s="313"/>
      <c r="N19" s="317"/>
      <c r="O19" s="317"/>
      <c r="P19" s="412"/>
      <c r="Q19" s="148"/>
      <c r="R19" s="135"/>
      <c r="S19" s="262"/>
      <c r="T19" s="140"/>
      <c r="U19" s="140"/>
      <c r="V19" s="140"/>
      <c r="W19" s="140"/>
      <c r="X19" s="140"/>
    </row>
    <row r="20" spans="1:24" ht="16.5" customHeight="1" thickBot="1" x14ac:dyDescent="0.3">
      <c r="A20" s="1022" t="s">
        <v>785</v>
      </c>
      <c r="B20" s="1022"/>
      <c r="C20" s="1022"/>
      <c r="D20" s="1022"/>
      <c r="E20" s="1022"/>
      <c r="F20" s="1022"/>
      <c r="G20" s="1022"/>
      <c r="H20" s="1022"/>
      <c r="I20" s="1022"/>
      <c r="J20" s="1022"/>
      <c r="K20" s="1022"/>
      <c r="L20" s="1023"/>
      <c r="M20" s="1023"/>
      <c r="N20" s="1023"/>
      <c r="O20" s="1023"/>
      <c r="P20" s="1023"/>
      <c r="S20" s="133"/>
    </row>
    <row r="21" spans="1:24" s="139" customFormat="1" ht="84.75" thickBot="1" x14ac:dyDescent="0.3">
      <c r="A21" s="354" t="s">
        <v>786</v>
      </c>
      <c r="B21" s="355" t="s">
        <v>787</v>
      </c>
      <c r="C21" s="375" t="s">
        <v>732</v>
      </c>
      <c r="D21" s="295" t="s">
        <v>726</v>
      </c>
      <c r="E21" s="413" t="s">
        <v>788</v>
      </c>
      <c r="F21" s="414" t="s">
        <v>789</v>
      </c>
      <c r="G21" s="415" t="s">
        <v>790</v>
      </c>
      <c r="H21" s="414" t="s">
        <v>791</v>
      </c>
      <c r="I21" s="416" t="s">
        <v>792</v>
      </c>
      <c r="J21" s="416" t="s">
        <v>793</v>
      </c>
      <c r="K21" s="416" t="s">
        <v>794</v>
      </c>
      <c r="L21" s="416" t="s">
        <v>795</v>
      </c>
      <c r="M21" s="414"/>
      <c r="N21" s="417"/>
      <c r="O21" s="417"/>
      <c r="P21" s="403"/>
      <c r="Q21" s="192"/>
      <c r="R21" s="193"/>
      <c r="S21" s="263"/>
    </row>
    <row r="22" spans="1:24" s="133" customFormat="1" ht="36.75" thickBot="1" x14ac:dyDescent="0.3">
      <c r="A22" s="418" t="s">
        <v>796</v>
      </c>
      <c r="B22" s="73" t="s">
        <v>797</v>
      </c>
      <c r="C22" s="74" t="s">
        <v>721</v>
      </c>
      <c r="D22" s="74" t="s">
        <v>722</v>
      </c>
      <c r="E22" s="75">
        <v>10.118864150544981</v>
      </c>
      <c r="F22" s="76">
        <v>10.347910039024763</v>
      </c>
      <c r="G22" s="77">
        <v>10.48801048913678</v>
      </c>
      <c r="H22" s="76">
        <v>11.860643414270582</v>
      </c>
      <c r="I22" s="220">
        <v>11.49</v>
      </c>
      <c r="J22" s="220">
        <v>10.283651269342878</v>
      </c>
      <c r="K22" s="220">
        <v>10.367935352516616</v>
      </c>
      <c r="L22" s="220">
        <v>12.420218517341604</v>
      </c>
      <c r="M22" s="220">
        <v>16.823166775630639</v>
      </c>
      <c r="N22" s="258"/>
      <c r="O22" s="258"/>
      <c r="P22" s="78" t="s">
        <v>722</v>
      </c>
      <c r="Q22" s="148"/>
    </row>
    <row r="23" spans="1:24" ht="26.25" customHeight="1" thickBot="1" x14ac:dyDescent="0.3">
      <c r="A23" s="1019" t="s">
        <v>798</v>
      </c>
      <c r="B23" s="1019"/>
      <c r="C23" s="1019"/>
      <c r="D23" s="1019"/>
      <c r="E23" s="1019"/>
      <c r="F23" s="419"/>
      <c r="G23" s="419"/>
      <c r="H23" s="419"/>
      <c r="I23" s="419"/>
      <c r="J23" s="419"/>
      <c r="K23" s="419"/>
      <c r="L23" s="419"/>
      <c r="M23" s="419"/>
      <c r="N23" s="419"/>
      <c r="O23" s="419"/>
      <c r="P23" s="353"/>
      <c r="Q23" s="149"/>
    </row>
    <row r="24" spans="1:24" s="131" customFormat="1" ht="28.5" customHeight="1" thickBot="1" x14ac:dyDescent="0.3">
      <c r="A24" s="354" t="s">
        <v>799</v>
      </c>
      <c r="B24" s="355" t="s">
        <v>800</v>
      </c>
      <c r="C24" s="356" t="s">
        <v>801</v>
      </c>
      <c r="D24" s="356" t="s">
        <v>802</v>
      </c>
      <c r="E24" s="413">
        <v>0.2465</v>
      </c>
      <c r="F24" s="414">
        <v>0.29459593463101613</v>
      </c>
      <c r="G24" s="414">
        <v>0.28599999999999998</v>
      </c>
      <c r="H24" s="414">
        <v>0.26700000000000002</v>
      </c>
      <c r="I24" s="414">
        <v>0.26500000000000001</v>
      </c>
      <c r="J24" s="414">
        <v>0.28796638945383851</v>
      </c>
      <c r="K24" s="414">
        <v>0.28360154494109274</v>
      </c>
      <c r="L24" s="414">
        <v>0.29830684437592198</v>
      </c>
      <c r="M24" s="416">
        <v>0.32007541582397026</v>
      </c>
      <c r="N24" s="416">
        <v>0.31857546430939432</v>
      </c>
      <c r="O24" s="414">
        <f>'Figura 1.5-5'!L4</f>
        <v>0.38015046788805879</v>
      </c>
      <c r="P24" s="403" t="s">
        <v>727</v>
      </c>
      <c r="Q24" s="150"/>
    </row>
    <row r="25" spans="1:24" s="131" customFormat="1" ht="31.5" customHeight="1" x14ac:dyDescent="0.25">
      <c r="A25" s="404" t="s">
        <v>803</v>
      </c>
      <c r="B25" s="405" t="s">
        <v>804</v>
      </c>
      <c r="C25" s="356" t="s">
        <v>805</v>
      </c>
      <c r="D25" s="370" t="s">
        <v>806</v>
      </c>
      <c r="E25" s="420">
        <v>0.3286</v>
      </c>
      <c r="F25" s="420">
        <v>0.16969999999999999</v>
      </c>
      <c r="G25" s="421">
        <v>0.32443587464819884</v>
      </c>
      <c r="H25" s="422">
        <v>0.38159999999999999</v>
      </c>
      <c r="I25" s="422">
        <v>0.40478329641089111</v>
      </c>
      <c r="J25" s="422">
        <v>0.46449396623844819</v>
      </c>
      <c r="K25" s="422">
        <v>0.42990016497617467</v>
      </c>
      <c r="L25" s="422">
        <v>0.48751257254813246</v>
      </c>
      <c r="M25" s="422">
        <v>0.37925949021842276</v>
      </c>
      <c r="N25" s="422">
        <v>0.43673477271207273</v>
      </c>
      <c r="O25" s="422">
        <v>0.50970000000000004</v>
      </c>
      <c r="P25" s="410" t="s">
        <v>727</v>
      </c>
      <c r="Q25" s="150"/>
    </row>
    <row r="26" spans="1:24" ht="13.5" customHeight="1" thickBot="1" x14ac:dyDescent="0.3">
      <c r="A26" s="1062" t="s">
        <v>807</v>
      </c>
      <c r="B26" s="1062"/>
      <c r="C26" s="1062"/>
      <c r="D26" s="1062"/>
      <c r="E26" s="1062"/>
      <c r="F26" s="1062"/>
      <c r="G26" s="1062"/>
      <c r="H26" s="1062"/>
      <c r="I26" s="1062"/>
      <c r="J26" s="1062"/>
      <c r="K26" s="1062"/>
      <c r="L26" s="1062"/>
      <c r="M26" s="1062"/>
      <c r="N26" s="1062"/>
      <c r="O26" s="1062"/>
      <c r="P26" s="1062"/>
    </row>
    <row r="27" spans="1:24" ht="26.25" customHeight="1" thickBot="1" x14ac:dyDescent="0.3">
      <c r="A27" s="1065" t="s">
        <v>808</v>
      </c>
      <c r="B27" s="1065"/>
      <c r="C27" s="1065"/>
      <c r="D27" s="79"/>
      <c r="E27" s="80"/>
      <c r="F27" s="80"/>
      <c r="G27" s="423"/>
      <c r="H27" s="423"/>
      <c r="I27" s="423"/>
      <c r="J27" s="423"/>
      <c r="K27" s="423"/>
      <c r="L27" s="424"/>
      <c r="M27" s="424"/>
      <c r="N27" s="424"/>
      <c r="O27" s="424"/>
      <c r="P27" s="425"/>
      <c r="Q27" s="149"/>
    </row>
    <row r="28" spans="1:24" ht="39.75" customHeight="1" x14ac:dyDescent="0.25">
      <c r="A28" s="354" t="s">
        <v>809</v>
      </c>
      <c r="B28" s="426" t="s">
        <v>810</v>
      </c>
      <c r="C28" s="427" t="s">
        <v>811</v>
      </c>
      <c r="D28" s="356" t="s">
        <v>812</v>
      </c>
      <c r="E28" s="356">
        <v>428</v>
      </c>
      <c r="F28" s="356">
        <v>409</v>
      </c>
      <c r="G28" s="81">
        <v>524</v>
      </c>
      <c r="H28" s="81">
        <v>630</v>
      </c>
      <c r="I28" s="82">
        <v>618</v>
      </c>
      <c r="J28" s="82">
        <v>715</v>
      </c>
      <c r="K28" s="221">
        <v>854</v>
      </c>
      <c r="L28" s="428">
        <v>852</v>
      </c>
      <c r="M28" s="429"/>
      <c r="N28" s="429">
        <v>1195</v>
      </c>
      <c r="O28" s="430">
        <v>1193</v>
      </c>
      <c r="P28" s="431" t="s">
        <v>722</v>
      </c>
      <c r="Q28" s="149"/>
    </row>
    <row r="29" spans="1:24" ht="39.75" customHeight="1" thickBot="1" x14ac:dyDescent="0.3">
      <c r="A29" s="301" t="s">
        <v>813</v>
      </c>
      <c r="B29" s="318" t="s">
        <v>814</v>
      </c>
      <c r="C29" s="319" t="s">
        <v>811</v>
      </c>
      <c r="D29" s="295" t="s">
        <v>812</v>
      </c>
      <c r="E29" s="295">
        <v>953</v>
      </c>
      <c r="F29" s="295">
        <v>772</v>
      </c>
      <c r="G29" s="295">
        <v>1081</v>
      </c>
      <c r="H29" s="295" t="s">
        <v>42</v>
      </c>
      <c r="I29" s="320" t="s">
        <v>42</v>
      </c>
      <c r="J29" s="320" t="s">
        <v>42</v>
      </c>
      <c r="K29" s="321" t="s">
        <v>42</v>
      </c>
      <c r="L29" s="321" t="s">
        <v>42</v>
      </c>
      <c r="M29" s="321" t="s">
        <v>42</v>
      </c>
      <c r="N29" s="321" t="s">
        <v>42</v>
      </c>
      <c r="O29" s="321" t="s">
        <v>42</v>
      </c>
      <c r="P29" s="395" t="s">
        <v>722</v>
      </c>
      <c r="Q29" s="149"/>
    </row>
    <row r="30" spans="1:24" ht="33" customHeight="1" thickBot="1" x14ac:dyDescent="0.3">
      <c r="A30" s="1064" t="s">
        <v>815</v>
      </c>
      <c r="B30" s="1064"/>
      <c r="C30" s="1064"/>
      <c r="D30" s="1064"/>
      <c r="E30" s="1064"/>
      <c r="F30" s="1064"/>
      <c r="G30" s="1064"/>
      <c r="H30" s="1064"/>
      <c r="I30" s="1064"/>
      <c r="J30" s="1064"/>
      <c r="K30" s="1064"/>
      <c r="L30" s="1024"/>
      <c r="M30" s="1024"/>
      <c r="N30" s="1024"/>
      <c r="O30" s="1024"/>
      <c r="P30" s="1024"/>
    </row>
    <row r="31" spans="1:24" ht="24" x14ac:dyDescent="0.25">
      <c r="A31" s="378" t="s">
        <v>816</v>
      </c>
      <c r="B31" s="379" t="s">
        <v>817</v>
      </c>
      <c r="C31" s="375" t="s">
        <v>818</v>
      </c>
      <c r="D31" s="375" t="s">
        <v>722</v>
      </c>
      <c r="E31" s="432">
        <f>'Figura 1.5-3'!D4*1000/'Figura 1.5-3'!D12</f>
        <v>329.93166510935509</v>
      </c>
      <c r="F31" s="432">
        <f>'Figura 1.5-3'!E4*1000/'Figura 1.5-3'!E12</f>
        <v>320.12983186727524</v>
      </c>
      <c r="G31" s="432">
        <f>'Figura 1.5-3'!F4*1000/'Figura 1.5-3'!F12</f>
        <v>327.74401400347824</v>
      </c>
      <c r="H31" s="432">
        <f>'Figura 1.5-3'!G4*1000/'Figura 1.5-3'!G12</f>
        <v>332.38417661534305</v>
      </c>
      <c r="I31" s="432">
        <f>'Figura 1.5-3'!H4*1000/'Figura 1.5-3'!H12</f>
        <v>339.79910940474394</v>
      </c>
      <c r="J31" s="432">
        <v>351.68990563514802</v>
      </c>
      <c r="K31" s="433">
        <v>349.64102548428701</v>
      </c>
      <c r="L31" s="433">
        <v>341.74754167200376</v>
      </c>
      <c r="M31" s="433">
        <v>329.45162860287138</v>
      </c>
      <c r="N31" s="433">
        <v>336.10996251869045</v>
      </c>
      <c r="O31" s="433">
        <f>'Figura 1.5-3'!N14</f>
        <v>326.00461127258541</v>
      </c>
      <c r="P31" s="431" t="s">
        <v>722</v>
      </c>
      <c r="Q31" s="154"/>
    </row>
    <row r="32" spans="1:24" ht="12.75" thickBot="1" x14ac:dyDescent="0.3">
      <c r="A32" s="1066" t="s">
        <v>819</v>
      </c>
      <c r="B32" s="1066"/>
      <c r="C32" s="1066"/>
      <c r="D32" s="1066"/>
      <c r="E32" s="1066"/>
      <c r="F32" s="1066"/>
      <c r="G32" s="1066"/>
      <c r="H32" s="1066"/>
      <c r="I32" s="1066"/>
      <c r="J32" s="1066"/>
      <c r="K32" s="1066"/>
      <c r="L32" s="1066"/>
      <c r="M32" s="1066"/>
      <c r="N32" s="1066"/>
      <c r="O32" s="1066"/>
      <c r="P32" s="1066"/>
    </row>
    <row r="33" spans="1:32" ht="24.75" customHeight="1" thickBot="1" x14ac:dyDescent="0.3">
      <c r="A33" s="1059" t="s">
        <v>820</v>
      </c>
      <c r="B33" s="1059"/>
      <c r="C33" s="1059"/>
      <c r="D33" s="1059"/>
      <c r="E33" s="1063"/>
      <c r="F33" s="1063"/>
      <c r="G33" s="1063"/>
      <c r="H33" s="1063"/>
      <c r="I33" s="1063"/>
      <c r="J33" s="1063"/>
      <c r="K33" s="1063"/>
      <c r="L33" s="1063"/>
      <c r="M33" s="1063"/>
      <c r="N33" s="1063"/>
      <c r="O33" s="1063"/>
      <c r="P33" s="1063"/>
    </row>
    <row r="34" spans="1:32" ht="27" customHeight="1" thickBot="1" x14ac:dyDescent="0.3">
      <c r="A34" s="1022" t="s">
        <v>821</v>
      </c>
      <c r="B34" s="1022"/>
      <c r="C34" s="1022"/>
      <c r="D34" s="1022"/>
      <c r="E34" s="1022"/>
      <c r="F34" s="1022"/>
      <c r="G34" s="1022"/>
      <c r="H34" s="1022"/>
      <c r="I34" s="1022"/>
      <c r="J34" s="1022"/>
      <c r="K34" s="1022"/>
      <c r="L34" s="1022"/>
      <c r="M34" s="1022"/>
      <c r="N34" s="1022"/>
      <c r="O34" s="1022"/>
      <c r="P34" s="1022"/>
      <c r="Q34" s="234"/>
    </row>
    <row r="35" spans="1:32" s="131" customFormat="1" ht="30.75" customHeight="1" thickBot="1" x14ac:dyDescent="0.3">
      <c r="A35" s="354" t="s">
        <v>822</v>
      </c>
      <c r="B35" s="434" t="s">
        <v>823</v>
      </c>
      <c r="C35" s="1037" t="s">
        <v>824</v>
      </c>
      <c r="D35" s="356" t="s">
        <v>722</v>
      </c>
      <c r="E35" s="435">
        <v>17.649999999999999</v>
      </c>
      <c r="F35" s="436">
        <v>15.19</v>
      </c>
      <c r="G35" s="436">
        <v>12.576087702818427</v>
      </c>
      <c r="H35" s="436">
        <v>13.412822581073524</v>
      </c>
      <c r="I35" s="436">
        <v>13.585757812195515</v>
      </c>
      <c r="J35" s="436">
        <v>13.904305635148042</v>
      </c>
      <c r="K35" s="436">
        <v>14.471631232769528</v>
      </c>
      <c r="L35" s="436">
        <v>15.575847936505287</v>
      </c>
      <c r="M35" s="436">
        <v>15.143753041806361</v>
      </c>
      <c r="N35" s="436">
        <v>15.449851122818206</v>
      </c>
      <c r="O35" s="436">
        <f>' Tabla 1.5-8'!B9</f>
        <v>15.529968378552605</v>
      </c>
      <c r="P35" s="431" t="s">
        <v>825</v>
      </c>
      <c r="Q35" s="235"/>
      <c r="R35" s="142"/>
      <c r="S35" s="142"/>
      <c r="T35" s="142"/>
    </row>
    <row r="36" spans="1:32" s="139" customFormat="1" ht="27.75" customHeight="1" thickBot="1" x14ac:dyDescent="0.3">
      <c r="A36" s="404" t="s">
        <v>826</v>
      </c>
      <c r="B36" s="434" t="s">
        <v>827</v>
      </c>
      <c r="C36" s="1038"/>
      <c r="D36" s="370" t="s">
        <v>722</v>
      </c>
      <c r="E36" s="435">
        <v>19.138357913764846</v>
      </c>
      <c r="F36" s="437">
        <v>18.100000000000001</v>
      </c>
      <c r="G36" s="438">
        <v>17.076356264003312</v>
      </c>
      <c r="H36" s="439">
        <v>17.079077282121368</v>
      </c>
      <c r="I36" s="439">
        <v>17.399999999999999</v>
      </c>
      <c r="J36" s="440">
        <v>17.327777675801684</v>
      </c>
      <c r="K36" s="440">
        <v>19.744874750092698</v>
      </c>
      <c r="L36" s="441">
        <v>20.074323977394069</v>
      </c>
      <c r="M36" s="441">
        <v>20.415676445751672</v>
      </c>
      <c r="N36" s="441">
        <v>20.762707664199716</v>
      </c>
      <c r="O36" s="440">
        <f>'Tabla 1.5-10'!B9</f>
        <v>19.885919067491511</v>
      </c>
      <c r="P36" s="442" t="s">
        <v>722</v>
      </c>
      <c r="Q36" s="235"/>
    </row>
    <row r="37" spans="1:32" s="139" customFormat="1" ht="24.75" thickBot="1" x14ac:dyDescent="0.3">
      <c r="A37" s="404" t="s">
        <v>828</v>
      </c>
      <c r="B37" s="434" t="s">
        <v>829</v>
      </c>
      <c r="C37" s="1039"/>
      <c r="D37" s="295" t="s">
        <v>722</v>
      </c>
      <c r="E37" s="435">
        <v>12.8</v>
      </c>
      <c r="F37" s="437">
        <v>12.5</v>
      </c>
      <c r="G37" s="438">
        <v>12.834272392273492</v>
      </c>
      <c r="H37" s="439">
        <v>13.114840653058737</v>
      </c>
      <c r="I37" s="439">
        <v>13.7</v>
      </c>
      <c r="J37" s="440">
        <v>14.129668020480739</v>
      </c>
      <c r="K37" s="440">
        <v>15.583206371799939</v>
      </c>
      <c r="L37" s="322">
        <v>16.767690235445144</v>
      </c>
      <c r="M37" s="323">
        <v>18.210733379185065</v>
      </c>
      <c r="N37" s="323">
        <v>18.32093734298223</v>
      </c>
      <c r="O37" s="324">
        <f>'Tabla 1.5-12'!B9</f>
        <v>18.460241182950806</v>
      </c>
      <c r="P37" s="395" t="s">
        <v>722</v>
      </c>
      <c r="Q37" s="235"/>
    </row>
    <row r="38" spans="1:32" ht="27" customHeight="1" thickBot="1" x14ac:dyDescent="0.3">
      <c r="A38" s="1022" t="s">
        <v>830</v>
      </c>
      <c r="B38" s="1022"/>
      <c r="C38" s="1022"/>
      <c r="D38" s="1022"/>
      <c r="E38" s="1022"/>
      <c r="F38" s="1022"/>
      <c r="G38" s="1022"/>
      <c r="H38" s="1022"/>
      <c r="I38" s="1022"/>
      <c r="J38" s="1022"/>
      <c r="K38" s="1022"/>
      <c r="L38" s="1023"/>
      <c r="M38" s="1023"/>
      <c r="N38" s="1023"/>
      <c r="O38" s="1023"/>
      <c r="P38" s="1023"/>
    </row>
    <row r="39" spans="1:32" ht="51.75" customHeight="1" thickBot="1" x14ac:dyDescent="0.3">
      <c r="A39" s="444" t="s">
        <v>831</v>
      </c>
      <c r="B39" s="445" t="s">
        <v>832</v>
      </c>
      <c r="C39" s="443" t="s">
        <v>833</v>
      </c>
      <c r="D39" s="443" t="s">
        <v>722</v>
      </c>
      <c r="E39" s="446">
        <v>0.1271541694315417</v>
      </c>
      <c r="F39" s="447">
        <v>0.14299999999999999</v>
      </c>
      <c r="G39" s="446">
        <v>0.15709999999999999</v>
      </c>
      <c r="H39" s="448">
        <v>0.16198850000000001</v>
      </c>
      <c r="I39" s="85">
        <v>0.1416</v>
      </c>
      <c r="J39" s="89">
        <v>0.15161616835631361</v>
      </c>
      <c r="K39" s="89">
        <v>0.15494695136782363</v>
      </c>
      <c r="L39" s="449">
        <v>0.15906340360889579</v>
      </c>
      <c r="M39" s="449">
        <v>0.13262541394021235</v>
      </c>
      <c r="N39" s="450">
        <v>0.14630000000000001</v>
      </c>
      <c r="O39" s="450">
        <v>0.1397260347536958</v>
      </c>
      <c r="P39" s="451" t="s">
        <v>722</v>
      </c>
      <c r="Q39" s="148"/>
      <c r="R39" s="143"/>
    </row>
    <row r="40" spans="1:32" ht="27" customHeight="1" thickBot="1" x14ac:dyDescent="0.3">
      <c r="A40" s="1022" t="s">
        <v>834</v>
      </c>
      <c r="B40" s="1022"/>
      <c r="C40" s="1022"/>
      <c r="D40" s="1022"/>
      <c r="E40" s="1022"/>
      <c r="F40" s="1022"/>
      <c r="G40" s="1022"/>
      <c r="H40" s="1022"/>
      <c r="I40" s="1022"/>
      <c r="J40" s="1022"/>
      <c r="K40" s="1022"/>
      <c r="L40" s="1023"/>
      <c r="M40" s="1023"/>
      <c r="N40" s="1023"/>
      <c r="O40" s="1023"/>
      <c r="P40" s="1023"/>
    </row>
    <row r="41" spans="1:32" ht="50.25" customHeight="1" thickBot="1" x14ac:dyDescent="0.3">
      <c r="A41" s="444" t="s">
        <v>835</v>
      </c>
      <c r="B41" s="445" t="s">
        <v>836</v>
      </c>
      <c r="C41" s="443" t="s">
        <v>833</v>
      </c>
      <c r="D41" s="443" t="s">
        <v>722</v>
      </c>
      <c r="E41" s="446">
        <v>0.49105977845168147</v>
      </c>
      <c r="F41" s="447">
        <v>0.8541947565543071</v>
      </c>
      <c r="G41" s="446">
        <f>89.14%</f>
        <v>0.89139999999999997</v>
      </c>
      <c r="H41" s="325">
        <v>0.8196</v>
      </c>
      <c r="I41" s="452">
        <v>0.88339999999999996</v>
      </c>
      <c r="J41" s="453">
        <v>0.83183516371575428</v>
      </c>
      <c r="K41" s="453">
        <v>0.93843317415220939</v>
      </c>
      <c r="L41" s="453">
        <v>0.89347571650810675</v>
      </c>
      <c r="M41" s="453">
        <v>0.95593070483242615</v>
      </c>
      <c r="N41" s="453">
        <v>0.85149153479439577</v>
      </c>
      <c r="O41" s="453">
        <v>1.0854121869594038</v>
      </c>
      <c r="P41" s="451" t="s">
        <v>722</v>
      </c>
      <c r="Q41" s="156"/>
    </row>
    <row r="42" spans="1:32" ht="27" customHeight="1" thickBot="1" x14ac:dyDescent="0.25">
      <c r="A42" s="1072" t="s">
        <v>837</v>
      </c>
      <c r="B42" s="1072"/>
      <c r="C42" s="1072"/>
      <c r="D42" s="1072"/>
      <c r="E42" s="1072"/>
      <c r="F42" s="1072"/>
      <c r="G42" s="1072"/>
      <c r="H42" s="1072"/>
      <c r="I42" s="1072"/>
      <c r="J42" s="1072"/>
      <c r="K42" s="1072"/>
      <c r="L42" s="1073"/>
      <c r="M42" s="1073"/>
      <c r="N42" s="1073"/>
      <c r="O42" s="1073"/>
      <c r="P42" s="1073"/>
      <c r="Q42" s="130"/>
      <c r="R42" s="133"/>
      <c r="S42" s="135"/>
    </row>
    <row r="43" spans="1:32" s="145" customFormat="1" ht="60" x14ac:dyDescent="0.25">
      <c r="A43" s="354" t="s">
        <v>838</v>
      </c>
      <c r="B43" s="355" t="s">
        <v>839</v>
      </c>
      <c r="C43" s="454" t="s">
        <v>840</v>
      </c>
      <c r="D43" s="356" t="s">
        <v>841</v>
      </c>
      <c r="E43" s="455">
        <v>0.32871117869464056</v>
      </c>
      <c r="F43" s="456">
        <v>0.39614427860696516</v>
      </c>
      <c r="G43" s="456">
        <v>0.30061286834627826</v>
      </c>
      <c r="H43" s="456">
        <v>0.31440000000000001</v>
      </c>
      <c r="I43" s="456">
        <v>0.44282634100000001</v>
      </c>
      <c r="J43" s="456">
        <v>0.36509999999999998</v>
      </c>
      <c r="K43" s="456">
        <v>0.34290064963655176</v>
      </c>
      <c r="L43" s="457">
        <v>0.45746080368548225</v>
      </c>
      <c r="M43" s="456">
        <v>0.41105418114170983</v>
      </c>
      <c r="N43" s="456">
        <v>0.4590368580295997</v>
      </c>
      <c r="O43" s="456">
        <v>0.42439928349535261</v>
      </c>
      <c r="P43" s="394" t="s">
        <v>842</v>
      </c>
      <c r="Q43" s="149"/>
      <c r="R43" s="133"/>
      <c r="S43" s="144"/>
      <c r="T43" s="132"/>
    </row>
    <row r="44" spans="1:32" s="145" customFormat="1" ht="62.25" customHeight="1" x14ac:dyDescent="0.25">
      <c r="A44" s="404" t="s">
        <v>843</v>
      </c>
      <c r="B44" s="458" t="s">
        <v>844</v>
      </c>
      <c r="C44" s="459" t="s">
        <v>845</v>
      </c>
      <c r="D44" s="370" t="s">
        <v>846</v>
      </c>
      <c r="E44" s="460">
        <v>0.97789999999999999</v>
      </c>
      <c r="F44" s="461">
        <v>0.98038010859847946</v>
      </c>
      <c r="G44" s="461">
        <v>0.98100000031011503</v>
      </c>
      <c r="H44" s="462">
        <v>0.87839999999999996</v>
      </c>
      <c r="I44" s="462">
        <v>0.88100000000000001</v>
      </c>
      <c r="J44" s="462">
        <v>0.91790000000000005</v>
      </c>
      <c r="K44" s="215">
        <v>0.98139263488269479</v>
      </c>
      <c r="L44" s="460">
        <v>1.4705242927825275</v>
      </c>
      <c r="M44" s="463">
        <v>1.0087127334071917</v>
      </c>
      <c r="N44" s="461">
        <v>1.0611889840629936</v>
      </c>
      <c r="O44" s="462">
        <v>0.96223347050413144</v>
      </c>
      <c r="P44" s="464" t="s">
        <v>727</v>
      </c>
      <c r="Q44" s="157"/>
    </row>
    <row r="45" spans="1:32" ht="42" customHeight="1" x14ac:dyDescent="0.25">
      <c r="A45" s="404" t="s">
        <v>847</v>
      </c>
      <c r="B45" s="405" t="s">
        <v>848</v>
      </c>
      <c r="C45" s="459" t="s">
        <v>849</v>
      </c>
      <c r="D45" s="370" t="s">
        <v>850</v>
      </c>
      <c r="E45" s="370" t="s">
        <v>42</v>
      </c>
      <c r="F45" s="465">
        <v>0.11976580791755119</v>
      </c>
      <c r="G45" s="465" t="s">
        <v>851</v>
      </c>
      <c r="H45" s="465" t="s">
        <v>852</v>
      </c>
      <c r="I45" s="466" t="s">
        <v>853</v>
      </c>
      <c r="J45" s="466">
        <v>0.19409999999999999</v>
      </c>
      <c r="K45" s="467">
        <v>0.47186486066645733</v>
      </c>
      <c r="L45" s="468">
        <v>0.22704995818029933</v>
      </c>
      <c r="M45" s="462">
        <v>0.34833405460163103</v>
      </c>
      <c r="N45" s="462">
        <v>0.9768623344374876</v>
      </c>
      <c r="O45" s="462">
        <v>0.12901370613564608</v>
      </c>
      <c r="P45" s="469" t="s">
        <v>727</v>
      </c>
      <c r="Q45" s="1060"/>
      <c r="R45" s="1061"/>
      <c r="S45" s="1061"/>
      <c r="T45" s="1061"/>
      <c r="U45" s="1061"/>
    </row>
    <row r="46" spans="1:32" ht="42.75" customHeight="1" x14ac:dyDescent="0.25">
      <c r="A46" s="404" t="s">
        <v>854</v>
      </c>
      <c r="B46" s="405" t="s">
        <v>855</v>
      </c>
      <c r="C46" s="459" t="s">
        <v>856</v>
      </c>
      <c r="D46" s="370" t="s">
        <v>850</v>
      </c>
      <c r="E46" s="370" t="s">
        <v>42</v>
      </c>
      <c r="F46" s="370" t="s">
        <v>42</v>
      </c>
      <c r="G46" s="370" t="s">
        <v>42</v>
      </c>
      <c r="H46" s="370" t="s">
        <v>851</v>
      </c>
      <c r="I46" s="465" t="s">
        <v>857</v>
      </c>
      <c r="J46" s="466">
        <v>0.41620000000000001</v>
      </c>
      <c r="K46" s="470">
        <v>0.43348861055956922</v>
      </c>
      <c r="L46" s="468">
        <v>0.52927413858428041</v>
      </c>
      <c r="M46" s="462">
        <v>0.43408165246447045</v>
      </c>
      <c r="N46" s="462">
        <v>0.96012050316577491</v>
      </c>
      <c r="O46" s="471">
        <v>1.0514023310335932</v>
      </c>
      <c r="P46" s="472" t="s">
        <v>858</v>
      </c>
      <c r="Q46" s="158"/>
    </row>
    <row r="47" spans="1:32" ht="36" customHeight="1" x14ac:dyDescent="0.25">
      <c r="A47" s="404" t="s">
        <v>859</v>
      </c>
      <c r="B47" s="405" t="s">
        <v>860</v>
      </c>
      <c r="C47" s="459" t="s">
        <v>861</v>
      </c>
      <c r="D47" s="370" t="s">
        <v>862</v>
      </c>
      <c r="E47" s="473" t="s">
        <v>42</v>
      </c>
      <c r="F47" s="473" t="s">
        <v>42</v>
      </c>
      <c r="G47" s="473" t="s">
        <v>42</v>
      </c>
      <c r="H47" s="473" t="s">
        <v>42</v>
      </c>
      <c r="I47" s="474" t="s">
        <v>42</v>
      </c>
      <c r="J47" s="474" t="s">
        <v>42</v>
      </c>
      <c r="K47" s="475">
        <v>6.4621260572350387E-4</v>
      </c>
      <c r="L47" s="476">
        <v>1.2386490725532829E-3</v>
      </c>
      <c r="M47" s="477">
        <v>1.8741806085162784E-3</v>
      </c>
      <c r="N47" s="462">
        <v>7.4927585373772273E-3</v>
      </c>
      <c r="O47" s="462">
        <v>1.3354312186927326E-2</v>
      </c>
      <c r="P47" s="469" t="s">
        <v>727</v>
      </c>
      <c r="Q47" s="149"/>
    </row>
    <row r="48" spans="1:32" s="139" customFormat="1" ht="35.25" customHeight="1" x14ac:dyDescent="0.25">
      <c r="A48" s="404" t="s">
        <v>863</v>
      </c>
      <c r="B48" s="405" t="s">
        <v>864</v>
      </c>
      <c r="C48" s="459" t="s">
        <v>865</v>
      </c>
      <c r="D48" s="370" t="s">
        <v>866</v>
      </c>
      <c r="E48" s="476" t="s">
        <v>867</v>
      </c>
      <c r="F48" s="478">
        <v>0.89294314806957997</v>
      </c>
      <c r="G48" s="477" t="s">
        <v>868</v>
      </c>
      <c r="H48" s="477" t="s">
        <v>869</v>
      </c>
      <c r="I48" s="479">
        <v>0.76659999999999995</v>
      </c>
      <c r="J48" s="479">
        <v>0.77190000000000003</v>
      </c>
      <c r="K48" s="475">
        <v>0.76919999999999999</v>
      </c>
      <c r="L48" s="233">
        <v>0.77242041552697438</v>
      </c>
      <c r="M48" s="265">
        <v>0.77246225676564217</v>
      </c>
      <c r="N48" s="265">
        <v>0.78382681351729944</v>
      </c>
      <c r="O48" s="290">
        <v>0.7829549572558856</v>
      </c>
      <c r="P48" s="227" t="s">
        <v>504</v>
      </c>
      <c r="Q48" s="1069"/>
      <c r="R48" s="1070"/>
      <c r="S48" s="1070"/>
      <c r="T48" s="1070"/>
      <c r="U48" s="1070"/>
      <c r="V48" s="1070"/>
      <c r="W48" s="1070"/>
      <c r="X48" s="1070"/>
      <c r="Y48" s="1070"/>
      <c r="Z48" s="1070"/>
      <c r="AA48" s="1070"/>
      <c r="AB48" s="1070"/>
      <c r="AC48" s="1070"/>
      <c r="AD48" s="1071"/>
      <c r="AE48" s="146"/>
      <c r="AF48" s="146"/>
    </row>
    <row r="49" spans="1:30" s="139" customFormat="1" ht="27.75" customHeight="1" x14ac:dyDescent="0.25">
      <c r="A49" s="404" t="s">
        <v>870</v>
      </c>
      <c r="B49" s="405" t="s">
        <v>871</v>
      </c>
      <c r="C49" s="459" t="s">
        <v>872</v>
      </c>
      <c r="D49" s="370" t="s">
        <v>873</v>
      </c>
      <c r="E49" s="460" t="s">
        <v>874</v>
      </c>
      <c r="F49" s="480" t="s">
        <v>875</v>
      </c>
      <c r="G49" s="461" t="s">
        <v>876</v>
      </c>
      <c r="H49" s="461" t="s">
        <v>877</v>
      </c>
      <c r="I49" s="465" t="s">
        <v>42</v>
      </c>
      <c r="J49" s="465" t="s">
        <v>851</v>
      </c>
      <c r="K49" s="465" t="s">
        <v>851</v>
      </c>
      <c r="L49" s="465" t="s">
        <v>851</v>
      </c>
      <c r="M49" s="465" t="s">
        <v>851</v>
      </c>
      <c r="N49" s="465" t="s">
        <v>851</v>
      </c>
      <c r="O49" s="481" t="s">
        <v>851</v>
      </c>
      <c r="P49" s="442" t="s">
        <v>504</v>
      </c>
      <c r="Q49" s="1029"/>
      <c r="R49" s="1030"/>
      <c r="S49" s="1030"/>
      <c r="T49" s="1030"/>
      <c r="U49" s="1030"/>
      <c r="V49" s="1030"/>
      <c r="W49" s="1030"/>
      <c r="X49" s="1030"/>
      <c r="Y49" s="1030"/>
      <c r="Z49" s="1030"/>
      <c r="AA49" s="1030"/>
      <c r="AB49" s="1030"/>
      <c r="AC49" s="1030"/>
      <c r="AD49" s="1031"/>
    </row>
    <row r="50" spans="1:30" s="139" customFormat="1" ht="27.75" customHeight="1" thickBot="1" x14ac:dyDescent="0.3">
      <c r="A50" s="301" t="s">
        <v>878</v>
      </c>
      <c r="B50" s="302" t="s">
        <v>879</v>
      </c>
      <c r="C50" s="326" t="s">
        <v>880</v>
      </c>
      <c r="D50" s="295" t="s">
        <v>881</v>
      </c>
      <c r="E50" s="327" t="s">
        <v>882</v>
      </c>
      <c r="F50" s="328" t="s">
        <v>883</v>
      </c>
      <c r="G50" s="329" t="s">
        <v>884</v>
      </c>
      <c r="H50" s="329" t="s">
        <v>885</v>
      </c>
      <c r="I50" s="465" t="s">
        <v>42</v>
      </c>
      <c r="J50" s="465" t="s">
        <v>851</v>
      </c>
      <c r="K50" s="465" t="s">
        <v>851</v>
      </c>
      <c r="L50" s="465" t="s">
        <v>851</v>
      </c>
      <c r="M50" s="482" t="s">
        <v>851</v>
      </c>
      <c r="N50" s="482" t="s">
        <v>851</v>
      </c>
      <c r="O50" s="483" t="s">
        <v>851</v>
      </c>
      <c r="P50" s="395" t="s">
        <v>504</v>
      </c>
      <c r="Q50" s="1032"/>
      <c r="R50" s="1033"/>
      <c r="S50" s="1033"/>
      <c r="T50" s="1033"/>
      <c r="U50" s="1033"/>
      <c r="V50" s="1033"/>
      <c r="W50" s="1033"/>
      <c r="X50" s="1033"/>
      <c r="Y50" s="1033"/>
      <c r="Z50" s="1033"/>
      <c r="AA50" s="1033"/>
      <c r="AB50" s="1033"/>
      <c r="AC50" s="1033"/>
      <c r="AD50" s="1034"/>
    </row>
    <row r="51" spans="1:30" ht="15" customHeight="1" thickBot="1" x14ac:dyDescent="0.3">
      <c r="A51" s="1047" t="s">
        <v>886</v>
      </c>
      <c r="B51" s="1048"/>
      <c r="C51" s="1048"/>
      <c r="D51" s="1048"/>
      <c r="E51" s="1048"/>
      <c r="F51" s="1048"/>
      <c r="G51" s="1048"/>
      <c r="H51" s="1048"/>
      <c r="I51" s="1048"/>
      <c r="J51" s="1048"/>
      <c r="K51" s="1048"/>
      <c r="L51" s="1048"/>
      <c r="M51" s="1048"/>
      <c r="N51" s="1048"/>
      <c r="O51" s="1048"/>
      <c r="P51" s="1049"/>
    </row>
    <row r="52" spans="1:30" ht="26.25" customHeight="1" thickBot="1" x14ac:dyDescent="0.3">
      <c r="A52" s="1022" t="s">
        <v>887</v>
      </c>
      <c r="B52" s="1022"/>
      <c r="C52" s="1022"/>
      <c r="D52" s="1022"/>
      <c r="E52" s="1022"/>
      <c r="F52" s="1022"/>
      <c r="G52" s="1022"/>
      <c r="H52" s="1022"/>
      <c r="I52" s="1022"/>
      <c r="J52" s="1022"/>
      <c r="K52" s="1022"/>
      <c r="L52" s="1022"/>
      <c r="M52" s="1022"/>
      <c r="N52" s="1022"/>
      <c r="O52" s="1022"/>
      <c r="P52" s="1022"/>
    </row>
    <row r="53" spans="1:30" s="131" customFormat="1" ht="44.25" customHeight="1" x14ac:dyDescent="0.25">
      <c r="A53" s="354" t="s">
        <v>888</v>
      </c>
      <c r="B53" s="355" t="s">
        <v>889</v>
      </c>
      <c r="C53" s="356" t="s">
        <v>890</v>
      </c>
      <c r="D53" s="356" t="s">
        <v>504</v>
      </c>
      <c r="E53" s="358">
        <v>6.6</v>
      </c>
      <c r="F53" s="358">
        <v>5.41</v>
      </c>
      <c r="G53" s="358">
        <v>3.2</v>
      </c>
      <c r="H53" s="484">
        <v>3.39</v>
      </c>
      <c r="I53" s="484">
        <v>4.54</v>
      </c>
      <c r="J53" s="484">
        <v>5.4805045323123434</v>
      </c>
      <c r="K53" s="485">
        <v>6.0880500323498969</v>
      </c>
      <c r="L53" s="485">
        <v>6.0880500323498969</v>
      </c>
      <c r="M53" s="485">
        <v>6.4786725381464594</v>
      </c>
      <c r="N53" s="485">
        <v>7.3316579065561882</v>
      </c>
      <c r="O53" s="485">
        <f>'Figura 1.5-21'!L7</f>
        <v>8.3729679897987239</v>
      </c>
      <c r="P53" s="431" t="s">
        <v>504</v>
      </c>
      <c r="Q53" s="159"/>
    </row>
    <row r="54" spans="1:30" ht="50.1" customHeight="1" x14ac:dyDescent="0.25">
      <c r="A54" s="404" t="s">
        <v>891</v>
      </c>
      <c r="B54" s="84" t="s">
        <v>892</v>
      </c>
      <c r="C54" s="81" t="s">
        <v>893</v>
      </c>
      <c r="D54" s="86" t="s">
        <v>894</v>
      </c>
      <c r="E54" s="81" t="s">
        <v>504</v>
      </c>
      <c r="F54" s="81" t="s">
        <v>504</v>
      </c>
      <c r="G54" s="81" t="s">
        <v>504</v>
      </c>
      <c r="H54" s="81" t="s">
        <v>504</v>
      </c>
      <c r="I54" s="217">
        <v>0.88</v>
      </c>
      <c r="J54" s="217">
        <v>0.82580317706972117</v>
      </c>
      <c r="K54" s="216">
        <v>1.0582163803578271</v>
      </c>
      <c r="L54" s="218">
        <v>0.8388955062943545</v>
      </c>
      <c r="M54" s="218">
        <v>0.90162752744300834</v>
      </c>
      <c r="N54" s="218">
        <v>0.77687146856597467</v>
      </c>
      <c r="O54" s="276">
        <f>'Tabla 1.5-26'!S6</f>
        <v>1.1564586711543507</v>
      </c>
      <c r="P54" s="472" t="s">
        <v>895</v>
      </c>
      <c r="Q54" s="1041"/>
      <c r="R54" s="1042"/>
    </row>
    <row r="55" spans="1:30" ht="50.1" customHeight="1" x14ac:dyDescent="0.25">
      <c r="A55" s="404" t="s">
        <v>896</v>
      </c>
      <c r="B55" s="84" t="s">
        <v>897</v>
      </c>
      <c r="C55" s="81" t="s">
        <v>893</v>
      </c>
      <c r="D55" s="86" t="s">
        <v>894</v>
      </c>
      <c r="E55" s="81" t="s">
        <v>504</v>
      </c>
      <c r="F55" s="81" t="s">
        <v>504</v>
      </c>
      <c r="G55" s="81" t="s">
        <v>504</v>
      </c>
      <c r="H55" s="81" t="s">
        <v>504</v>
      </c>
      <c r="I55" s="217">
        <v>0.97</v>
      </c>
      <c r="J55" s="217">
        <v>0.85038306262073449</v>
      </c>
      <c r="K55" s="218">
        <v>0.94463704453031705</v>
      </c>
      <c r="L55" s="218">
        <v>0.79016359149074811</v>
      </c>
      <c r="M55" s="218">
        <v>0.79438844434614031</v>
      </c>
      <c r="N55" s="218">
        <v>0.83764054471653004</v>
      </c>
      <c r="O55" s="217">
        <f>'Tabla 1.5-26'!I13</f>
        <v>0.90210391088194719</v>
      </c>
      <c r="P55" s="469" t="s">
        <v>727</v>
      </c>
      <c r="Q55" s="1043"/>
      <c r="R55" s="1044"/>
    </row>
    <row r="56" spans="1:30" ht="50.1" customHeight="1" x14ac:dyDescent="0.25">
      <c r="A56" s="404" t="s">
        <v>898</v>
      </c>
      <c r="B56" s="84" t="s">
        <v>899</v>
      </c>
      <c r="C56" s="81" t="s">
        <v>893</v>
      </c>
      <c r="D56" s="86" t="s">
        <v>894</v>
      </c>
      <c r="E56" s="81" t="s">
        <v>504</v>
      </c>
      <c r="F56" s="81" t="s">
        <v>504</v>
      </c>
      <c r="G56" s="81" t="s">
        <v>504</v>
      </c>
      <c r="H56" s="81" t="s">
        <v>504</v>
      </c>
      <c r="I56" s="217">
        <v>0.38</v>
      </c>
      <c r="J56" s="217">
        <v>0.70352405112057126</v>
      </c>
      <c r="K56" s="216">
        <v>1.773164918354905</v>
      </c>
      <c r="L56" s="216">
        <v>1.1281741741451172</v>
      </c>
      <c r="M56" s="216">
        <v>1.3526982835454779</v>
      </c>
      <c r="N56" s="218">
        <v>0.60694093773223823</v>
      </c>
      <c r="O56" s="217">
        <f>'Tabla 1.5-26'!P13</f>
        <v>0.70194401044749355</v>
      </c>
      <c r="P56" s="469" t="s">
        <v>727</v>
      </c>
      <c r="Q56" s="1043"/>
      <c r="R56" s="1044"/>
    </row>
    <row r="57" spans="1:30" ht="50.1" customHeight="1" x14ac:dyDescent="0.25">
      <c r="A57" s="404" t="s">
        <v>900</v>
      </c>
      <c r="B57" s="405" t="s">
        <v>901</v>
      </c>
      <c r="C57" s="370" t="s">
        <v>893</v>
      </c>
      <c r="D57" s="478" t="s">
        <v>902</v>
      </c>
      <c r="E57" s="370" t="s">
        <v>504</v>
      </c>
      <c r="F57" s="370" t="s">
        <v>504</v>
      </c>
      <c r="G57" s="370" t="s">
        <v>504</v>
      </c>
      <c r="H57" s="370" t="s">
        <v>504</v>
      </c>
      <c r="I57" s="486">
        <v>0.95</v>
      </c>
      <c r="J57" s="486">
        <v>0.87953592252571322</v>
      </c>
      <c r="K57" s="218">
        <v>0.98511020284027839</v>
      </c>
      <c r="L57" s="218">
        <v>0.78242386678336451</v>
      </c>
      <c r="M57" s="218">
        <v>0.83895125333983755</v>
      </c>
      <c r="N57" s="218">
        <v>0.79904198559589235</v>
      </c>
      <c r="O57" s="276">
        <f>'Tabla 1.5-26'!S6</f>
        <v>1.1564586711543507</v>
      </c>
      <c r="P57" s="472" t="s">
        <v>858</v>
      </c>
      <c r="Q57" s="1043"/>
      <c r="R57" s="1044"/>
    </row>
    <row r="58" spans="1:30" ht="50.1" customHeight="1" x14ac:dyDescent="0.25">
      <c r="A58" s="404" t="s">
        <v>903</v>
      </c>
      <c r="B58" s="405" t="s">
        <v>904</v>
      </c>
      <c r="C58" s="370" t="s">
        <v>893</v>
      </c>
      <c r="D58" s="478" t="s">
        <v>894</v>
      </c>
      <c r="E58" s="370" t="s">
        <v>504</v>
      </c>
      <c r="F58" s="370" t="s">
        <v>504</v>
      </c>
      <c r="G58" s="370" t="s">
        <v>504</v>
      </c>
      <c r="H58" s="370" t="s">
        <v>504</v>
      </c>
      <c r="I58" s="480">
        <v>1.0900000000000001</v>
      </c>
      <c r="J58" s="480">
        <v>1.087431614112941</v>
      </c>
      <c r="K58" s="218">
        <v>0.78759525196855917</v>
      </c>
      <c r="L58" s="218">
        <v>1.0934052890571677</v>
      </c>
      <c r="M58" s="218">
        <v>1.1066616908229967</v>
      </c>
      <c r="N58" s="218">
        <v>0.9331829784779766</v>
      </c>
      <c r="O58" s="217">
        <f>'Tabla 1.5-26'!S7</f>
        <v>0.65925222422956586</v>
      </c>
      <c r="P58" s="472" t="s">
        <v>858</v>
      </c>
      <c r="Q58" s="1043"/>
      <c r="R58" s="1044"/>
    </row>
    <row r="59" spans="1:30" ht="50.1" customHeight="1" x14ac:dyDescent="0.25">
      <c r="A59" s="404" t="s">
        <v>905</v>
      </c>
      <c r="B59" s="405" t="s">
        <v>906</v>
      </c>
      <c r="C59" s="370" t="s">
        <v>893</v>
      </c>
      <c r="D59" s="478" t="s">
        <v>902</v>
      </c>
      <c r="E59" s="370" t="s">
        <v>504</v>
      </c>
      <c r="F59" s="370" t="s">
        <v>504</v>
      </c>
      <c r="G59" s="370" t="s">
        <v>504</v>
      </c>
      <c r="H59" s="370" t="s">
        <v>504</v>
      </c>
      <c r="I59" s="486">
        <v>0.53</v>
      </c>
      <c r="J59" s="486">
        <v>0.52471828456034542</v>
      </c>
      <c r="K59" s="216">
        <v>1.182278241711306</v>
      </c>
      <c r="L59" s="218">
        <v>0.83689853066665676</v>
      </c>
      <c r="M59" s="218">
        <v>0.68439858683140364</v>
      </c>
      <c r="N59" s="216">
        <v>1.0792639770971832</v>
      </c>
      <c r="O59" s="217">
        <f>'Tabla 1.5-26'!S8</f>
        <v>0.93010695367119678</v>
      </c>
      <c r="P59" s="469" t="s">
        <v>727</v>
      </c>
      <c r="Q59" s="1043"/>
      <c r="R59" s="1044"/>
    </row>
    <row r="60" spans="1:30" ht="50.1" customHeight="1" x14ac:dyDescent="0.25">
      <c r="A60" s="404" t="s">
        <v>907</v>
      </c>
      <c r="B60" s="405" t="s">
        <v>908</v>
      </c>
      <c r="C60" s="370" t="s">
        <v>893</v>
      </c>
      <c r="D60" s="478" t="s">
        <v>902</v>
      </c>
      <c r="E60" s="370" t="s">
        <v>504</v>
      </c>
      <c r="F60" s="370" t="s">
        <v>504</v>
      </c>
      <c r="G60" s="370" t="s">
        <v>504</v>
      </c>
      <c r="H60" s="370" t="s">
        <v>504</v>
      </c>
      <c r="I60" s="480">
        <v>1.38</v>
      </c>
      <c r="J60" s="480">
        <v>1.500164324149152</v>
      </c>
      <c r="K60" s="216">
        <v>1.4600879003328353</v>
      </c>
      <c r="L60" s="218">
        <v>0.90057356070299788</v>
      </c>
      <c r="M60" s="218">
        <v>0.95659905297663439</v>
      </c>
      <c r="N60" s="218">
        <v>0.96642499890649336</v>
      </c>
      <c r="O60" s="217">
        <f>'Tabla 1.5-26'!S9</f>
        <v>0.95977475917086486</v>
      </c>
      <c r="P60" s="469" t="s">
        <v>727</v>
      </c>
      <c r="Q60" s="1043"/>
      <c r="R60" s="1044"/>
    </row>
    <row r="61" spans="1:30" ht="50.1" customHeight="1" x14ac:dyDescent="0.25">
      <c r="A61" s="404" t="s">
        <v>909</v>
      </c>
      <c r="B61" s="405" t="s">
        <v>910</v>
      </c>
      <c r="C61" s="370" t="s">
        <v>893</v>
      </c>
      <c r="D61" s="478" t="s">
        <v>902</v>
      </c>
      <c r="E61" s="370" t="s">
        <v>504</v>
      </c>
      <c r="F61" s="370" t="s">
        <v>504</v>
      </c>
      <c r="G61" s="370" t="s">
        <v>504</v>
      </c>
      <c r="H61" s="370" t="s">
        <v>504</v>
      </c>
      <c r="I61" s="486">
        <v>0.73</v>
      </c>
      <c r="J61" s="480">
        <v>1.3429149415805071</v>
      </c>
      <c r="K61" s="216">
        <v>1.9852834659738174</v>
      </c>
      <c r="L61" s="218">
        <v>0.74095329464301773</v>
      </c>
      <c r="M61" s="243">
        <v>1.070855414472921</v>
      </c>
      <c r="N61" s="218">
        <v>0.68331634056891355</v>
      </c>
      <c r="O61" s="276">
        <f>'Tabla 1.5-26'!S10</f>
        <v>1.0563018217620286</v>
      </c>
      <c r="P61" s="472" t="s">
        <v>858</v>
      </c>
      <c r="Q61" s="1043"/>
      <c r="R61" s="1044"/>
    </row>
    <row r="62" spans="1:30" ht="50.1" customHeight="1" x14ac:dyDescent="0.25">
      <c r="A62" s="404" t="s">
        <v>911</v>
      </c>
      <c r="B62" s="405" t="s">
        <v>912</v>
      </c>
      <c r="C62" s="370" t="s">
        <v>893</v>
      </c>
      <c r="D62" s="478" t="s">
        <v>894</v>
      </c>
      <c r="E62" s="370" t="s">
        <v>504</v>
      </c>
      <c r="F62" s="370" t="s">
        <v>504</v>
      </c>
      <c r="G62" s="370" t="s">
        <v>504</v>
      </c>
      <c r="H62" s="370" t="s">
        <v>504</v>
      </c>
      <c r="I62" s="486">
        <v>0.06</v>
      </c>
      <c r="J62" s="486">
        <v>0.73306377109624676</v>
      </c>
      <c r="K62" s="216">
        <v>2.1771654950979311</v>
      </c>
      <c r="L62" s="218">
        <v>0.62765902050275468</v>
      </c>
      <c r="M62" s="218">
        <v>0.44614352283847108</v>
      </c>
      <c r="N62" s="218">
        <v>0.70543250676516989</v>
      </c>
      <c r="O62" s="217">
        <f>'Tabla 1.5-26'!S11</f>
        <v>0.62828969830580095</v>
      </c>
      <c r="P62" s="469" t="s">
        <v>727</v>
      </c>
      <c r="Q62" s="1043"/>
      <c r="R62" s="1044"/>
    </row>
    <row r="63" spans="1:30" ht="50.1" customHeight="1" x14ac:dyDescent="0.25">
      <c r="A63" s="404" t="s">
        <v>913</v>
      </c>
      <c r="B63" s="405" t="s">
        <v>914</v>
      </c>
      <c r="C63" s="370" t="s">
        <v>893</v>
      </c>
      <c r="D63" s="478" t="s">
        <v>902</v>
      </c>
      <c r="E63" s="370" t="s">
        <v>504</v>
      </c>
      <c r="F63" s="370" t="s">
        <v>504</v>
      </c>
      <c r="G63" s="370" t="s">
        <v>504</v>
      </c>
      <c r="H63" s="370" t="s">
        <v>504</v>
      </c>
      <c r="I63" s="486">
        <v>0.51</v>
      </c>
      <c r="J63" s="486">
        <v>0.43925646083947129</v>
      </c>
      <c r="K63" s="218">
        <v>0.5204003123224602</v>
      </c>
      <c r="L63" s="218">
        <v>0.22275205657013922</v>
      </c>
      <c r="M63" s="218">
        <v>0.2880031386941162</v>
      </c>
      <c r="N63" s="218">
        <v>0.14729931711363944</v>
      </c>
      <c r="O63" s="217">
        <f>'Tabla 1.5-26'!S12</f>
        <v>5.6132516216680702E-2</v>
      </c>
      <c r="P63" s="469" t="s">
        <v>727</v>
      </c>
      <c r="Q63" s="1043"/>
      <c r="R63" s="1044"/>
    </row>
    <row r="64" spans="1:30" ht="50.1" customHeight="1" x14ac:dyDescent="0.25">
      <c r="A64" s="404" t="s">
        <v>915</v>
      </c>
      <c r="B64" s="405" t="s">
        <v>916</v>
      </c>
      <c r="C64" s="370" t="s">
        <v>893</v>
      </c>
      <c r="D64" s="478" t="s">
        <v>902</v>
      </c>
      <c r="E64" s="370" t="s">
        <v>504</v>
      </c>
      <c r="F64" s="370" t="s">
        <v>504</v>
      </c>
      <c r="G64" s="370" t="s">
        <v>504</v>
      </c>
      <c r="H64" s="370" t="s">
        <v>504</v>
      </c>
      <c r="I64" s="486">
        <v>0.2</v>
      </c>
      <c r="J64" s="486">
        <v>0.33103215676002079</v>
      </c>
      <c r="K64" s="218">
        <v>0.24057702480212331</v>
      </c>
      <c r="L64" s="229" t="s">
        <v>543</v>
      </c>
      <c r="M64" s="229" t="s">
        <v>543</v>
      </c>
      <c r="N64" s="229" t="s">
        <v>543</v>
      </c>
      <c r="O64" s="229" t="s">
        <v>543</v>
      </c>
      <c r="P64" s="442" t="s">
        <v>543</v>
      </c>
      <c r="Q64" s="1043"/>
      <c r="R64" s="1044"/>
    </row>
    <row r="65" spans="1:18" ht="50.1" customHeight="1" x14ac:dyDescent="0.25">
      <c r="A65" s="404" t="s">
        <v>917</v>
      </c>
      <c r="B65" s="405" t="s">
        <v>918</v>
      </c>
      <c r="C65" s="370" t="s">
        <v>893</v>
      </c>
      <c r="D65" s="478" t="s">
        <v>902</v>
      </c>
      <c r="E65" s="370" t="s">
        <v>504</v>
      </c>
      <c r="F65" s="370" t="s">
        <v>504</v>
      </c>
      <c r="G65" s="370" t="s">
        <v>504</v>
      </c>
      <c r="H65" s="370" t="s">
        <v>504</v>
      </c>
      <c r="I65" s="486">
        <v>0.41</v>
      </c>
      <c r="J65" s="486">
        <v>0.72861638811590623</v>
      </c>
      <c r="K65" s="218">
        <v>0.35162734589237821</v>
      </c>
      <c r="L65" s="228" t="s">
        <v>543</v>
      </c>
      <c r="M65" s="228" t="s">
        <v>543</v>
      </c>
      <c r="N65" s="228" t="s">
        <v>543</v>
      </c>
      <c r="O65" s="228" t="s">
        <v>543</v>
      </c>
      <c r="P65" s="442" t="s">
        <v>543</v>
      </c>
      <c r="Q65" s="1043"/>
      <c r="R65" s="1044"/>
    </row>
    <row r="66" spans="1:18" ht="50.1" customHeight="1" thickBot="1" x14ac:dyDescent="0.3">
      <c r="A66" s="404" t="s">
        <v>919</v>
      </c>
      <c r="B66" s="405" t="s">
        <v>920</v>
      </c>
      <c r="C66" s="370" t="s">
        <v>893</v>
      </c>
      <c r="D66" s="478" t="s">
        <v>902</v>
      </c>
      <c r="E66" s="370" t="s">
        <v>504</v>
      </c>
      <c r="F66" s="370" t="s">
        <v>504</v>
      </c>
      <c r="G66" s="370" t="s">
        <v>504</v>
      </c>
      <c r="H66" s="370" t="s">
        <v>504</v>
      </c>
      <c r="I66" s="486">
        <v>0.12</v>
      </c>
      <c r="J66" s="486">
        <v>0.20717244285204772</v>
      </c>
      <c r="K66" s="218">
        <v>5.1455818668610417E-2</v>
      </c>
      <c r="L66" s="330" t="s">
        <v>543</v>
      </c>
      <c r="M66" s="330" t="s">
        <v>543</v>
      </c>
      <c r="N66" s="330" t="s">
        <v>543</v>
      </c>
      <c r="O66" s="330" t="s">
        <v>543</v>
      </c>
      <c r="P66" s="395" t="s">
        <v>543</v>
      </c>
      <c r="Q66" s="1045"/>
      <c r="R66" s="1046"/>
    </row>
    <row r="67" spans="1:18" ht="27.75" customHeight="1" thickBot="1" x14ac:dyDescent="0.3">
      <c r="A67" s="1067" t="s">
        <v>921</v>
      </c>
      <c r="B67" s="1067"/>
      <c r="C67" s="1067"/>
      <c r="D67" s="1067"/>
      <c r="E67" s="1067"/>
      <c r="F67" s="1067"/>
      <c r="G67" s="1067"/>
      <c r="H67" s="1067"/>
      <c r="I67" s="1067"/>
      <c r="J67" s="1067"/>
      <c r="K67" s="1067"/>
      <c r="L67" s="1068"/>
      <c r="M67" s="1068"/>
      <c r="N67" s="1068"/>
      <c r="O67" s="1068"/>
      <c r="P67" s="1068"/>
    </row>
    <row r="68" spans="1:18" ht="26.25" customHeight="1" thickBot="1" x14ac:dyDescent="0.3">
      <c r="A68" s="1022" t="s">
        <v>922</v>
      </c>
      <c r="B68" s="1022"/>
      <c r="C68" s="1022"/>
      <c r="D68" s="1022"/>
      <c r="E68" s="1022"/>
      <c r="F68" s="1022"/>
      <c r="G68" s="1022"/>
      <c r="H68" s="1022"/>
      <c r="I68" s="1022"/>
      <c r="J68" s="1022"/>
      <c r="K68" s="1022"/>
      <c r="L68" s="1022"/>
      <c r="M68" s="1022"/>
      <c r="N68" s="1022"/>
      <c r="O68" s="1022"/>
      <c r="P68" s="1022"/>
    </row>
    <row r="69" spans="1:18" s="139" customFormat="1" ht="50.1" customHeight="1" x14ac:dyDescent="0.25">
      <c r="A69" s="404" t="s">
        <v>923</v>
      </c>
      <c r="B69" s="487" t="s">
        <v>924</v>
      </c>
      <c r="C69" s="370" t="s">
        <v>925</v>
      </c>
      <c r="D69" s="370" t="s">
        <v>926</v>
      </c>
      <c r="E69" s="488">
        <v>0.1249</v>
      </c>
      <c r="F69" s="488">
        <v>0.14427950936865483</v>
      </c>
      <c r="G69" s="489">
        <v>0.11929777978382321</v>
      </c>
      <c r="H69" s="489">
        <v>0.11564500414902722</v>
      </c>
      <c r="I69" s="489">
        <v>0.13693375581200479</v>
      </c>
      <c r="J69" s="489">
        <v>0.11483371597750572</v>
      </c>
      <c r="K69" s="490">
        <v>0.12984412433745279</v>
      </c>
      <c r="L69" s="226">
        <v>0.12341134623150952</v>
      </c>
      <c r="M69" s="226">
        <v>0.11586211413824359</v>
      </c>
      <c r="N69" s="264">
        <v>0.1227</v>
      </c>
      <c r="O69" s="264">
        <v>0.147290484107056</v>
      </c>
      <c r="P69" s="394" t="s">
        <v>727</v>
      </c>
      <c r="Q69" s="155"/>
    </row>
    <row r="70" spans="1:18" s="139" customFormat="1" ht="50.1" customHeight="1" x14ac:dyDescent="0.25">
      <c r="A70" s="404" t="s">
        <v>927</v>
      </c>
      <c r="B70" s="487" t="s">
        <v>928</v>
      </c>
      <c r="C70" s="370" t="s">
        <v>925</v>
      </c>
      <c r="D70" s="370" t="s">
        <v>929</v>
      </c>
      <c r="E70" s="488">
        <v>1</v>
      </c>
      <c r="F70" s="491">
        <v>1</v>
      </c>
      <c r="G70" s="489">
        <v>0.60123226030995103</v>
      </c>
      <c r="H70" s="492">
        <v>0.8833424719740165</v>
      </c>
      <c r="I70" s="493">
        <v>0.21406388236073601</v>
      </c>
      <c r="J70" s="493">
        <v>0.89029241067346954</v>
      </c>
      <c r="K70" s="493">
        <v>0.76046528899023258</v>
      </c>
      <c r="L70" s="493">
        <v>0.72529383869458031</v>
      </c>
      <c r="M70" s="493">
        <v>0.67287250970347301</v>
      </c>
      <c r="N70" s="494">
        <v>0.71519999999999995</v>
      </c>
      <c r="O70" s="494">
        <v>0.66433323808327094</v>
      </c>
      <c r="P70" s="331" t="s">
        <v>858</v>
      </c>
      <c r="Q70" s="155"/>
    </row>
    <row r="71" spans="1:18" ht="50.1" customHeight="1" x14ac:dyDescent="0.25">
      <c r="A71" s="83" t="s">
        <v>930</v>
      </c>
      <c r="B71" s="214" t="s">
        <v>931</v>
      </c>
      <c r="C71" s="370" t="s">
        <v>925</v>
      </c>
      <c r="D71" s="86">
        <v>1</v>
      </c>
      <c r="E71" s="87">
        <v>1</v>
      </c>
      <c r="F71" s="491">
        <v>1</v>
      </c>
      <c r="G71" s="492">
        <v>1</v>
      </c>
      <c r="H71" s="492">
        <v>1</v>
      </c>
      <c r="I71" s="493">
        <v>1</v>
      </c>
      <c r="J71" s="493">
        <v>1</v>
      </c>
      <c r="K71" s="493">
        <v>1</v>
      </c>
      <c r="L71" s="493">
        <v>1</v>
      </c>
      <c r="M71" s="493">
        <v>1</v>
      </c>
      <c r="N71" s="494">
        <v>1</v>
      </c>
      <c r="O71" s="494">
        <v>1</v>
      </c>
      <c r="P71" s="332" t="s">
        <v>932</v>
      </c>
      <c r="Q71" s="149"/>
    </row>
    <row r="72" spans="1:18" s="139" customFormat="1" ht="50.1" customHeight="1" thickBot="1" x14ac:dyDescent="0.3">
      <c r="A72" s="294" t="s">
        <v>933</v>
      </c>
      <c r="B72" s="495" t="s">
        <v>934</v>
      </c>
      <c r="C72" s="364" t="s">
        <v>925</v>
      </c>
      <c r="D72" s="364" t="s">
        <v>935</v>
      </c>
      <c r="E72" s="491">
        <v>0</v>
      </c>
      <c r="F72" s="491">
        <v>0</v>
      </c>
      <c r="G72" s="492">
        <v>0</v>
      </c>
      <c r="H72" s="492">
        <v>0</v>
      </c>
      <c r="I72" s="493">
        <v>0</v>
      </c>
      <c r="J72" s="493">
        <v>0</v>
      </c>
      <c r="K72" s="493">
        <v>0.13011404843047025</v>
      </c>
      <c r="L72" s="493">
        <v>0.11287296901327995</v>
      </c>
      <c r="M72" s="493">
        <v>0.18529113245702436</v>
      </c>
      <c r="N72" s="494">
        <v>0.13100000000000001</v>
      </c>
      <c r="O72" s="494">
        <v>0.20271889442152136</v>
      </c>
      <c r="P72" s="331" t="s">
        <v>858</v>
      </c>
      <c r="Q72" s="155"/>
    </row>
    <row r="73" spans="1:18" s="139" customFormat="1" ht="21" customHeight="1" thickBot="1" x14ac:dyDescent="0.3">
      <c r="A73" s="1050" t="s">
        <v>936</v>
      </c>
      <c r="B73" s="1051"/>
      <c r="C73" s="1051"/>
      <c r="D73" s="1051"/>
      <c r="E73" s="1051"/>
      <c r="F73" s="1051"/>
      <c r="G73" s="1051"/>
      <c r="H73" s="1051"/>
      <c r="I73" s="1051"/>
      <c r="J73" s="1051"/>
      <c r="K73" s="1051"/>
      <c r="L73" s="1051"/>
      <c r="M73" s="1051"/>
      <c r="N73" s="1051"/>
      <c r="O73" s="1051"/>
      <c r="P73" s="1052"/>
      <c r="Q73" s="155"/>
    </row>
    <row r="74" spans="1:18" ht="24" customHeight="1" thickBot="1" x14ac:dyDescent="0.3">
      <c r="A74" s="1022" t="s">
        <v>937</v>
      </c>
      <c r="B74" s="1022"/>
      <c r="C74" s="1022"/>
      <c r="D74" s="1022"/>
      <c r="E74" s="1022"/>
      <c r="F74" s="1022"/>
      <c r="G74" s="1022"/>
      <c r="H74" s="1022"/>
      <c r="I74" s="1022"/>
      <c r="J74" s="1022"/>
      <c r="K74" s="1022"/>
      <c r="L74" s="1023"/>
      <c r="M74" s="1023"/>
      <c r="N74" s="1023"/>
      <c r="O74" s="1023"/>
      <c r="P74" s="1023"/>
    </row>
    <row r="75" spans="1:18" s="139" customFormat="1" ht="24" customHeight="1" x14ac:dyDescent="0.25">
      <c r="A75" s="354" t="s">
        <v>938</v>
      </c>
      <c r="B75" s="355" t="s">
        <v>939</v>
      </c>
      <c r="C75" s="356" t="s">
        <v>925</v>
      </c>
      <c r="D75" s="496">
        <v>1</v>
      </c>
      <c r="E75" s="497">
        <v>1.5089999999999999</v>
      </c>
      <c r="F75" s="497">
        <v>1.2929999999999999</v>
      </c>
      <c r="G75" s="497">
        <v>1.2969999999999999</v>
      </c>
      <c r="H75" s="498">
        <v>1.1539999999999999</v>
      </c>
      <c r="I75" s="498">
        <v>1.216</v>
      </c>
      <c r="J75" s="498">
        <v>1.1720813116189113</v>
      </c>
      <c r="K75" s="498">
        <v>1.131</v>
      </c>
      <c r="L75" s="498">
        <v>1.2</v>
      </c>
      <c r="M75" s="499">
        <v>1.208985346579684</v>
      </c>
      <c r="N75" s="499">
        <v>1.2630048595114971</v>
      </c>
      <c r="O75" s="499">
        <v>1.2204035635809487</v>
      </c>
      <c r="P75" s="500" t="s">
        <v>858</v>
      </c>
      <c r="Q75" s="155"/>
    </row>
    <row r="76" spans="1:18" s="139" customFormat="1" ht="24" customHeight="1" x14ac:dyDescent="0.25">
      <c r="A76" s="404" t="s">
        <v>940</v>
      </c>
      <c r="B76" s="405" t="s">
        <v>941</v>
      </c>
      <c r="C76" s="370" t="s">
        <v>942</v>
      </c>
      <c r="D76" s="478">
        <v>1</v>
      </c>
      <c r="E76" s="488">
        <v>1</v>
      </c>
      <c r="F76" s="488">
        <v>1</v>
      </c>
      <c r="G76" s="488">
        <v>1</v>
      </c>
      <c r="H76" s="501">
        <v>1</v>
      </c>
      <c r="I76" s="501">
        <v>1</v>
      </c>
      <c r="J76" s="501">
        <v>1.0000000000000002</v>
      </c>
      <c r="K76" s="501">
        <v>1</v>
      </c>
      <c r="L76" s="501">
        <v>1</v>
      </c>
      <c r="M76" s="501">
        <v>1</v>
      </c>
      <c r="N76" s="501">
        <v>0.99976725969128921</v>
      </c>
      <c r="O76" s="502">
        <v>1.000191008699578</v>
      </c>
      <c r="P76" s="503" t="s">
        <v>943</v>
      </c>
      <c r="Q76" s="155"/>
    </row>
    <row r="77" spans="1:18" s="131" customFormat="1" ht="24" customHeight="1" thickBot="1" x14ac:dyDescent="0.3">
      <c r="A77" s="301" t="s">
        <v>944</v>
      </c>
      <c r="B77" s="302" t="s">
        <v>945</v>
      </c>
      <c r="C77" s="295" t="s">
        <v>946</v>
      </c>
      <c r="D77" s="333">
        <v>0.65</v>
      </c>
      <c r="E77" s="334">
        <v>0.20699999999999999</v>
      </c>
      <c r="F77" s="334">
        <v>0.314</v>
      </c>
      <c r="G77" s="334">
        <v>0.29699999999999999</v>
      </c>
      <c r="H77" s="335">
        <v>0.40699999999999997</v>
      </c>
      <c r="I77" s="335">
        <v>0.38700000000000001</v>
      </c>
      <c r="J77" s="335">
        <v>0.37513569515915851</v>
      </c>
      <c r="K77" s="335">
        <v>0.317</v>
      </c>
      <c r="L77" s="335">
        <v>0.40699999999999997</v>
      </c>
      <c r="M77" s="336">
        <v>0.70279075119736834</v>
      </c>
      <c r="N77" s="337">
        <v>0.69743958912331405</v>
      </c>
      <c r="O77" s="335">
        <v>0.40898345153664306</v>
      </c>
      <c r="P77" s="412" t="s">
        <v>727</v>
      </c>
      <c r="Q77" s="150"/>
    </row>
    <row r="78" spans="1:18" ht="24.75" customHeight="1" thickBot="1" x14ac:dyDescent="0.3">
      <c r="A78" s="1022" t="s">
        <v>947</v>
      </c>
      <c r="B78" s="1022"/>
      <c r="C78" s="1022"/>
      <c r="D78" s="1022"/>
      <c r="E78" s="1022"/>
      <c r="F78" s="1022"/>
      <c r="G78" s="1022"/>
      <c r="H78" s="1022"/>
      <c r="I78" s="1022"/>
      <c r="J78" s="1022"/>
      <c r="K78" s="1022"/>
      <c r="L78" s="1023"/>
      <c r="M78" s="1023"/>
      <c r="N78" s="1023"/>
      <c r="O78" s="1023"/>
      <c r="P78" s="1023"/>
    </row>
    <row r="79" spans="1:18" s="139" customFormat="1" ht="50.1" customHeight="1" x14ac:dyDescent="0.25">
      <c r="A79" s="354" t="s">
        <v>948</v>
      </c>
      <c r="B79" s="355" t="s">
        <v>949</v>
      </c>
      <c r="C79" s="356" t="s">
        <v>950</v>
      </c>
      <c r="D79" s="356" t="s">
        <v>951</v>
      </c>
      <c r="E79" s="497">
        <v>0.88</v>
      </c>
      <c r="F79" s="497">
        <v>0.8921</v>
      </c>
      <c r="G79" s="497">
        <v>0.92230000000000001</v>
      </c>
      <c r="H79" s="504">
        <v>0.95399999999999996</v>
      </c>
      <c r="I79" s="505">
        <v>0.95030000000000003</v>
      </c>
      <c r="J79" s="505">
        <v>0.95791421083204753</v>
      </c>
      <c r="K79" s="506">
        <v>0.960317279479729</v>
      </c>
      <c r="L79" s="506">
        <v>0.97097198877132318</v>
      </c>
      <c r="M79" s="505">
        <v>0.97175</v>
      </c>
      <c r="N79" s="505">
        <v>0.98399999999999999</v>
      </c>
      <c r="O79" s="507">
        <v>0.98599999999999999</v>
      </c>
      <c r="P79" s="508" t="s">
        <v>858</v>
      </c>
      <c r="Q79" s="155"/>
    </row>
    <row r="80" spans="1:18" s="139" customFormat="1" ht="50.1" customHeight="1" x14ac:dyDescent="0.25">
      <c r="A80" s="404" t="s">
        <v>952</v>
      </c>
      <c r="B80" s="405" t="s">
        <v>953</v>
      </c>
      <c r="C80" s="370" t="s">
        <v>950</v>
      </c>
      <c r="D80" s="370" t="s">
        <v>954</v>
      </c>
      <c r="E80" s="420">
        <v>0.88</v>
      </c>
      <c r="F80" s="420">
        <v>0.89229999999999998</v>
      </c>
      <c r="G80" s="420">
        <v>0.92230000000000001</v>
      </c>
      <c r="H80" s="509">
        <v>0.95399999999999996</v>
      </c>
      <c r="I80" s="510">
        <v>0.95030000000000003</v>
      </c>
      <c r="J80" s="510">
        <v>0.95791421083204753</v>
      </c>
      <c r="K80" s="511">
        <v>0.960317279479729</v>
      </c>
      <c r="L80" s="511">
        <v>0.97097198877132318</v>
      </c>
      <c r="M80" s="510">
        <v>0.97175</v>
      </c>
      <c r="N80" s="510">
        <v>0.98399999999999999</v>
      </c>
      <c r="O80" s="512">
        <v>0.98599999999999999</v>
      </c>
      <c r="P80" s="513" t="s">
        <v>858</v>
      </c>
      <c r="Q80" s="155"/>
    </row>
    <row r="81" spans="1:18" s="139" customFormat="1" ht="58.5" customHeight="1" thickBot="1" x14ac:dyDescent="0.3">
      <c r="A81" s="301" t="s">
        <v>955</v>
      </c>
      <c r="B81" s="302" t="s">
        <v>956</v>
      </c>
      <c r="C81" s="295" t="s">
        <v>957</v>
      </c>
      <c r="D81" s="295" t="s">
        <v>958</v>
      </c>
      <c r="E81" s="1053" t="s">
        <v>959</v>
      </c>
      <c r="F81" s="1054"/>
      <c r="G81" s="1054"/>
      <c r="H81" s="1054"/>
      <c r="I81" s="1055"/>
      <c r="J81" s="339" t="s">
        <v>42</v>
      </c>
      <c r="K81" s="340" t="s">
        <v>42</v>
      </c>
      <c r="L81" s="340" t="s">
        <v>42</v>
      </c>
      <c r="M81" s="338" t="s">
        <v>42</v>
      </c>
      <c r="N81" s="338" t="s">
        <v>42</v>
      </c>
      <c r="O81" s="341" t="s">
        <v>42</v>
      </c>
      <c r="P81" s="514"/>
      <c r="Q81" s="155"/>
    </row>
    <row r="82" spans="1:18" ht="27" customHeight="1" thickBot="1" x14ac:dyDescent="0.3">
      <c r="A82" s="1024" t="s">
        <v>960</v>
      </c>
      <c r="B82" s="1024"/>
      <c r="C82" s="1024"/>
      <c r="D82" s="1024"/>
      <c r="E82" s="1024"/>
      <c r="F82" s="1024"/>
      <c r="G82" s="1024"/>
      <c r="H82" s="1024"/>
      <c r="I82" s="1024"/>
      <c r="J82" s="1024"/>
      <c r="K82" s="1024"/>
      <c r="L82" s="1024"/>
      <c r="M82" s="1024"/>
      <c r="N82" s="1024"/>
      <c r="O82" s="1024"/>
      <c r="P82" s="1024"/>
    </row>
    <row r="83" spans="1:18" ht="24" customHeight="1" thickBot="1" x14ac:dyDescent="0.3">
      <c r="A83" s="1025" t="s">
        <v>961</v>
      </c>
      <c r="B83" s="1025"/>
      <c r="C83" s="1025"/>
      <c r="D83" s="1025"/>
      <c r="E83" s="1025"/>
      <c r="F83" s="1025"/>
      <c r="G83" s="1025"/>
      <c r="H83" s="1025"/>
      <c r="I83" s="1025"/>
      <c r="J83" s="1025"/>
      <c r="K83" s="1025"/>
      <c r="L83" s="1025"/>
      <c r="M83" s="1025"/>
      <c r="N83" s="1025"/>
      <c r="O83" s="1025"/>
      <c r="P83" s="1025"/>
    </row>
    <row r="84" spans="1:18" ht="24" customHeight="1" thickBot="1" x14ac:dyDescent="0.3">
      <c r="A84" s="1019" t="s">
        <v>962</v>
      </c>
      <c r="B84" s="1019"/>
      <c r="C84" s="1019"/>
      <c r="D84" s="1019"/>
      <c r="E84" s="515"/>
      <c r="F84" s="515"/>
      <c r="G84" s="515"/>
      <c r="H84" s="515"/>
      <c r="I84" s="515"/>
      <c r="J84" s="515"/>
      <c r="K84" s="515"/>
      <c r="L84" s="515"/>
      <c r="M84" s="515"/>
      <c r="N84" s="515"/>
      <c r="O84" s="515"/>
      <c r="P84" s="516"/>
      <c r="Q84" s="149"/>
    </row>
    <row r="85" spans="1:18" ht="47.25" customHeight="1" x14ac:dyDescent="0.25">
      <c r="A85" s="404" t="s">
        <v>963</v>
      </c>
      <c r="B85" s="405" t="s">
        <v>964</v>
      </c>
      <c r="C85" s="370" t="s">
        <v>965</v>
      </c>
      <c r="D85" s="370" t="s">
        <v>966</v>
      </c>
      <c r="E85" s="406">
        <v>0.36099999999999999</v>
      </c>
      <c r="F85" s="517">
        <v>0.38500000000000001</v>
      </c>
      <c r="G85" s="518">
        <v>0.38</v>
      </c>
      <c r="H85" s="519">
        <v>0.40600000000000003</v>
      </c>
      <c r="I85" s="520">
        <v>0.38400000000000001</v>
      </c>
      <c r="J85" s="520">
        <v>0.40627016108199476</v>
      </c>
      <c r="K85" s="519">
        <v>0.45157742628162895</v>
      </c>
      <c r="L85" s="521">
        <f>'Tabla 1.5-19'!D6</f>
        <v>0.36997384736056887</v>
      </c>
      <c r="M85" s="521">
        <v>0.44570550497483802</v>
      </c>
      <c r="N85" s="522">
        <v>0.39690009970256329</v>
      </c>
      <c r="O85" s="523">
        <v>0.37</v>
      </c>
      <c r="P85" s="331"/>
      <c r="Q85" s="149"/>
    </row>
    <row r="86" spans="1:18" ht="42.75" customHeight="1" thickBot="1" x14ac:dyDescent="0.3">
      <c r="A86" s="404" t="s">
        <v>967</v>
      </c>
      <c r="B86" s="405" t="s">
        <v>968</v>
      </c>
      <c r="C86" s="524" t="s">
        <v>925</v>
      </c>
      <c r="D86" s="524" t="s">
        <v>969</v>
      </c>
      <c r="E86" s="525">
        <v>3.6999999999999998E-2</v>
      </c>
      <c r="F86" s="502">
        <v>4.2000000000000003E-2</v>
      </c>
      <c r="G86" s="526">
        <v>4.2999999999999997E-2</v>
      </c>
      <c r="H86" s="526">
        <v>4.2000000000000003E-2</v>
      </c>
      <c r="I86" s="526">
        <v>3.9E-2</v>
      </c>
      <c r="J86" s="526">
        <v>2.4901709182122717E-2</v>
      </c>
      <c r="K86" s="526">
        <v>2.1534148921525831E-2</v>
      </c>
      <c r="L86" s="527">
        <f>'Tabla 1.5-19'!B5</f>
        <v>1.9490238956026244E-2</v>
      </c>
      <c r="M86" s="527">
        <v>5.3167377357765731E-4</v>
      </c>
      <c r="N86" s="528">
        <v>2.3648375795114012E-2</v>
      </c>
      <c r="O86" s="529">
        <v>1.95E-2</v>
      </c>
      <c r="P86" s="331" t="s">
        <v>943</v>
      </c>
      <c r="Q86" s="149"/>
    </row>
    <row r="87" spans="1:18" ht="24" customHeight="1" thickBot="1" x14ac:dyDescent="0.3">
      <c r="A87" s="1026" t="s">
        <v>970</v>
      </c>
      <c r="B87" s="1026"/>
      <c r="C87" s="1026"/>
      <c r="D87" s="424"/>
      <c r="E87" s="530"/>
      <c r="F87" s="530"/>
      <c r="G87" s="530"/>
      <c r="H87" s="530"/>
      <c r="I87" s="530"/>
      <c r="J87" s="530"/>
      <c r="K87" s="530"/>
      <c r="L87" s="530"/>
      <c r="M87" s="530"/>
      <c r="N87" s="530"/>
      <c r="O87" s="530"/>
      <c r="P87" s="516"/>
      <c r="Q87" s="149"/>
    </row>
    <row r="88" spans="1:18" s="139" customFormat="1" ht="29.25" customHeight="1" thickBot="1" x14ac:dyDescent="0.3">
      <c r="A88" s="378" t="s">
        <v>971</v>
      </c>
      <c r="B88" s="379" t="s">
        <v>972</v>
      </c>
      <c r="C88" s="375" t="s">
        <v>973</v>
      </c>
      <c r="D88" s="375" t="s">
        <v>974</v>
      </c>
      <c r="E88" s="380">
        <v>1</v>
      </c>
      <c r="F88" s="381">
        <v>1</v>
      </c>
      <c r="G88" s="381">
        <v>1</v>
      </c>
      <c r="H88" s="531">
        <v>1</v>
      </c>
      <c r="I88" s="531">
        <v>1</v>
      </c>
      <c r="J88" s="531">
        <v>1</v>
      </c>
      <c r="K88" s="532">
        <v>1</v>
      </c>
      <c r="L88" s="532">
        <v>1</v>
      </c>
      <c r="M88" s="533">
        <v>1</v>
      </c>
      <c r="N88" s="534">
        <v>1</v>
      </c>
      <c r="O88" s="534">
        <v>1</v>
      </c>
      <c r="P88" s="161"/>
      <c r="Q88" s="155"/>
    </row>
    <row r="89" spans="1:18" ht="24" customHeight="1" thickBot="1" x14ac:dyDescent="0.3">
      <c r="A89" s="1056" t="s">
        <v>975</v>
      </c>
      <c r="B89" s="1057"/>
      <c r="C89" s="1057"/>
      <c r="D89" s="1057"/>
      <c r="E89" s="1057"/>
      <c r="F89" s="1057"/>
      <c r="G89" s="1057"/>
      <c r="H89" s="1057"/>
      <c r="I89" s="1057"/>
      <c r="J89" s="1057"/>
      <c r="K89" s="1057"/>
      <c r="L89" s="1057"/>
      <c r="M89" s="1057"/>
      <c r="N89" s="1057"/>
      <c r="O89" s="1057"/>
      <c r="P89" s="1058"/>
    </row>
    <row r="90" spans="1:18" ht="24" customHeight="1" thickBot="1" x14ac:dyDescent="0.3">
      <c r="A90" s="1019" t="s">
        <v>976</v>
      </c>
      <c r="B90" s="1019"/>
      <c r="C90" s="1019"/>
      <c r="D90" s="423"/>
      <c r="E90" s="515"/>
      <c r="F90" s="515"/>
      <c r="G90" s="515"/>
      <c r="H90" s="515"/>
      <c r="I90" s="515"/>
      <c r="J90" s="515"/>
      <c r="K90" s="515"/>
      <c r="L90" s="515"/>
      <c r="M90" s="515"/>
      <c r="N90" s="515"/>
      <c r="O90" s="515"/>
      <c r="P90" s="516"/>
      <c r="Q90" s="149"/>
    </row>
    <row r="91" spans="1:18" ht="24" customHeight="1" thickBot="1" x14ac:dyDescent="0.3">
      <c r="A91" s="1040" t="s">
        <v>977</v>
      </c>
      <c r="B91" s="1040"/>
      <c r="C91" s="1040"/>
      <c r="D91" s="1040"/>
      <c r="E91" s="1040"/>
      <c r="F91" s="1040"/>
      <c r="G91" s="1040"/>
      <c r="H91" s="1040"/>
      <c r="I91" s="1040"/>
      <c r="J91" s="1040"/>
      <c r="K91" s="1040"/>
      <c r="L91" s="1040"/>
      <c r="M91" s="1040"/>
      <c r="N91" s="1040"/>
      <c r="O91" s="1040"/>
      <c r="P91" s="1040"/>
    </row>
    <row r="92" spans="1:18" ht="24" customHeight="1" thickBot="1" x14ac:dyDescent="0.3">
      <c r="A92" s="1026" t="s">
        <v>978</v>
      </c>
      <c r="B92" s="1026"/>
      <c r="C92" s="1026"/>
      <c r="D92" s="1026"/>
      <c r="E92" s="1021"/>
      <c r="F92" s="1021"/>
      <c r="G92" s="1021"/>
      <c r="H92" s="1021"/>
      <c r="I92" s="1021"/>
      <c r="J92" s="1021"/>
      <c r="K92" s="1021"/>
      <c r="L92" s="1021"/>
      <c r="M92" s="1021"/>
      <c r="N92" s="1021"/>
      <c r="O92" s="1021"/>
      <c r="P92" s="1021"/>
      <c r="Q92" s="147"/>
      <c r="R92" s="147"/>
    </row>
    <row r="93" spans="1:18" ht="25.5" customHeight="1" thickBot="1" x14ac:dyDescent="0.3">
      <c r="A93" s="535" t="s">
        <v>979</v>
      </c>
      <c r="B93" s="454" t="s">
        <v>980</v>
      </c>
      <c r="C93" s="536" t="s">
        <v>722</v>
      </c>
      <c r="D93" s="356" t="s">
        <v>722</v>
      </c>
      <c r="E93" s="356" t="s">
        <v>42</v>
      </c>
      <c r="F93" s="356" t="s">
        <v>42</v>
      </c>
      <c r="G93" s="356" t="s">
        <v>851</v>
      </c>
      <c r="H93" s="427">
        <v>1221000</v>
      </c>
      <c r="I93" s="427">
        <v>2080000</v>
      </c>
      <c r="J93" s="427">
        <v>2331800</v>
      </c>
      <c r="K93" s="537">
        <v>2209800</v>
      </c>
      <c r="L93" s="537">
        <v>3854800</v>
      </c>
      <c r="M93" s="538"/>
      <c r="N93" s="538"/>
      <c r="O93" s="538"/>
      <c r="P93" s="431" t="s">
        <v>312</v>
      </c>
      <c r="Q93" s="160"/>
      <c r="R93" s="147"/>
    </row>
    <row r="94" spans="1:18" ht="27.75" customHeight="1" thickBot="1" x14ac:dyDescent="0.3">
      <c r="A94" s="539" t="s">
        <v>981</v>
      </c>
      <c r="B94" s="318" t="s">
        <v>982</v>
      </c>
      <c r="C94" s="295" t="s">
        <v>983</v>
      </c>
      <c r="D94" s="295" t="s">
        <v>722</v>
      </c>
      <c r="E94" s="295" t="s">
        <v>42</v>
      </c>
      <c r="F94" s="295" t="s">
        <v>42</v>
      </c>
      <c r="G94" s="295" t="s">
        <v>851</v>
      </c>
      <c r="H94" s="339">
        <v>0.34489999999999998</v>
      </c>
      <c r="I94" s="339">
        <v>0.40910000000000002</v>
      </c>
      <c r="J94" s="339">
        <v>0.4491</v>
      </c>
      <c r="K94" s="340">
        <v>0.45679999999999998</v>
      </c>
      <c r="L94" s="340">
        <v>0.41570000000000001</v>
      </c>
      <c r="M94" s="342"/>
      <c r="N94" s="342"/>
      <c r="O94" s="342"/>
      <c r="P94" s="395" t="s">
        <v>312</v>
      </c>
      <c r="Q94" s="160"/>
      <c r="R94" s="147"/>
    </row>
    <row r="95" spans="1:18" ht="24" customHeight="1" thickBot="1" x14ac:dyDescent="0.3">
      <c r="A95" s="1059" t="s">
        <v>984</v>
      </c>
      <c r="B95" s="1059"/>
      <c r="C95" s="1059"/>
      <c r="D95" s="1059"/>
      <c r="E95" s="1028"/>
      <c r="F95" s="1028"/>
      <c r="G95" s="1028"/>
      <c r="H95" s="1028"/>
      <c r="I95" s="1028"/>
      <c r="J95" s="1028"/>
      <c r="K95" s="1028"/>
      <c r="L95" s="1028"/>
      <c r="M95" s="1028"/>
      <c r="N95" s="1028"/>
      <c r="O95" s="1028"/>
      <c r="P95" s="1028"/>
    </row>
    <row r="96" spans="1:18" ht="24" customHeight="1" thickBot="1" x14ac:dyDescent="0.3">
      <c r="A96" s="1025" t="s">
        <v>985</v>
      </c>
      <c r="B96" s="1025"/>
      <c r="C96" s="1025"/>
      <c r="D96" s="1025"/>
      <c r="E96" s="1025"/>
      <c r="F96" s="1025"/>
      <c r="G96" s="1025"/>
      <c r="H96" s="1025"/>
      <c r="I96" s="1025"/>
      <c r="J96" s="1025"/>
      <c r="K96" s="1025"/>
      <c r="L96" s="1025"/>
      <c r="M96" s="1025"/>
      <c r="N96" s="1025"/>
      <c r="O96" s="1025"/>
      <c r="P96" s="1025"/>
    </row>
    <row r="97" spans="1:33" ht="24" customHeight="1" thickBot="1" x14ac:dyDescent="0.3">
      <c r="A97" s="1019" t="s">
        <v>986</v>
      </c>
      <c r="B97" s="1019"/>
      <c r="C97" s="1019"/>
      <c r="D97" s="1019"/>
      <c r="E97" s="1020"/>
      <c r="F97" s="1020"/>
      <c r="G97" s="1020"/>
      <c r="H97" s="1020"/>
      <c r="I97" s="1020"/>
      <c r="J97" s="1020"/>
      <c r="K97" s="1020"/>
      <c r="L97" s="1020"/>
      <c r="M97" s="1020"/>
      <c r="N97" s="1020"/>
      <c r="O97" s="1020"/>
      <c r="P97" s="1020"/>
    </row>
    <row r="98" spans="1:33" ht="24" customHeight="1" thickBot="1" x14ac:dyDescent="0.3">
      <c r="A98" s="1027" t="s">
        <v>987</v>
      </c>
      <c r="B98" s="1027"/>
      <c r="C98" s="1027"/>
      <c r="D98" s="1027"/>
      <c r="E98" s="1027"/>
      <c r="F98" s="1027"/>
      <c r="G98" s="1027"/>
      <c r="H98" s="1027"/>
      <c r="I98" s="1027"/>
      <c r="J98" s="1027"/>
      <c r="K98" s="1027"/>
      <c r="L98" s="1027"/>
      <c r="M98" s="1027"/>
      <c r="N98" s="1027"/>
      <c r="O98" s="1027"/>
      <c r="P98" s="1027"/>
    </row>
    <row r="99" spans="1:33" ht="24" customHeight="1" thickBot="1" x14ac:dyDescent="0.3">
      <c r="A99" s="1019" t="s">
        <v>988</v>
      </c>
      <c r="B99" s="1019"/>
      <c r="C99" s="1019"/>
      <c r="D99" s="1019"/>
      <c r="E99" s="1020"/>
      <c r="F99" s="1020"/>
      <c r="G99" s="1020"/>
      <c r="H99" s="1020"/>
      <c r="I99" s="1020"/>
      <c r="J99" s="1020"/>
      <c r="K99" s="1020"/>
      <c r="L99" s="1020"/>
      <c r="M99" s="1020"/>
      <c r="N99" s="1020"/>
      <c r="O99" s="1020"/>
      <c r="P99" s="1020"/>
    </row>
    <row r="100" spans="1:33" s="131" customFormat="1" ht="26.25" customHeight="1" thickBot="1" x14ac:dyDescent="0.3">
      <c r="A100" s="1027" t="s">
        <v>987</v>
      </c>
      <c r="B100" s="1027"/>
      <c r="C100" s="1027"/>
      <c r="D100" s="1027"/>
      <c r="E100" s="1027"/>
      <c r="F100" s="1027"/>
      <c r="G100" s="1027"/>
      <c r="H100" s="1027"/>
      <c r="I100" s="1027"/>
      <c r="J100" s="1027"/>
      <c r="K100" s="1027"/>
      <c r="L100" s="1027"/>
      <c r="M100" s="1027"/>
      <c r="N100" s="1027"/>
      <c r="O100" s="1027"/>
      <c r="P100" s="1027"/>
    </row>
    <row r="101" spans="1:33" ht="20.25" customHeight="1" thickBot="1" x14ac:dyDescent="0.3">
      <c r="A101" s="1019" t="s">
        <v>989</v>
      </c>
      <c r="B101" s="1019"/>
      <c r="C101" s="1019"/>
      <c r="D101" s="1019"/>
      <c r="E101" s="1020"/>
      <c r="F101" s="1020"/>
      <c r="G101" s="1020"/>
      <c r="H101" s="1020"/>
      <c r="I101" s="1020"/>
      <c r="J101" s="1020"/>
      <c r="K101" s="1020"/>
      <c r="L101" s="1020"/>
      <c r="M101" s="1020"/>
      <c r="N101" s="1020"/>
      <c r="O101" s="1020"/>
      <c r="P101" s="1020"/>
    </row>
    <row r="102" spans="1:33" s="131" customFormat="1" ht="55.5" customHeight="1" thickBot="1" x14ac:dyDescent="0.3">
      <c r="A102" s="404" t="s">
        <v>990</v>
      </c>
      <c r="B102" s="405" t="s">
        <v>991</v>
      </c>
      <c r="C102" s="370" t="s">
        <v>992</v>
      </c>
      <c r="D102" s="370" t="s">
        <v>993</v>
      </c>
      <c r="E102" s="406">
        <v>0.71307864463679105</v>
      </c>
      <c r="F102" s="517">
        <v>0.64763424680740567</v>
      </c>
      <c r="G102" s="517">
        <v>0.66190000000000004</v>
      </c>
      <c r="H102" s="540">
        <v>0.69918670108193204</v>
      </c>
      <c r="I102" s="540">
        <v>0.72399999999999998</v>
      </c>
      <c r="J102" s="541">
        <v>0.71074576136442325</v>
      </c>
      <c r="K102" s="540">
        <v>0.73004963464381023</v>
      </c>
      <c r="L102" s="542">
        <v>0.70374467864854606</v>
      </c>
      <c r="M102" s="543">
        <v>0.67690427608982728</v>
      </c>
      <c r="N102" s="543">
        <v>0.75075115758880195</v>
      </c>
      <c r="O102" s="544">
        <v>0.67600000000000005</v>
      </c>
      <c r="P102" s="386" t="s">
        <v>727</v>
      </c>
      <c r="Q102" s="162"/>
    </row>
    <row r="103" spans="1:33" ht="13.5" customHeight="1" thickBot="1" x14ac:dyDescent="0.3">
      <c r="A103" s="1019" t="s">
        <v>994</v>
      </c>
      <c r="B103" s="1019"/>
      <c r="C103" s="1019"/>
      <c r="D103" s="1019"/>
      <c r="E103" s="1020"/>
      <c r="F103" s="1020"/>
      <c r="G103" s="1020"/>
      <c r="H103" s="1020"/>
      <c r="I103" s="1020"/>
      <c r="J103" s="1020"/>
      <c r="K103" s="1020"/>
      <c r="L103" s="1028"/>
      <c r="M103" s="1028"/>
      <c r="N103" s="1028"/>
      <c r="O103" s="1028"/>
      <c r="P103" s="1028"/>
    </row>
    <row r="104" spans="1:33" ht="23.25" customHeight="1" thickBot="1" x14ac:dyDescent="0.3">
      <c r="A104" s="1027" t="s">
        <v>987</v>
      </c>
      <c r="B104" s="1027"/>
      <c r="C104" s="1027"/>
      <c r="D104" s="1027"/>
      <c r="E104" s="1027"/>
      <c r="F104" s="1027"/>
      <c r="G104" s="1027"/>
      <c r="H104" s="1027"/>
      <c r="I104" s="1027"/>
      <c r="J104" s="1027"/>
      <c r="K104" s="1027"/>
      <c r="L104" s="1027"/>
      <c r="M104" s="1027"/>
      <c r="N104" s="1027"/>
      <c r="O104" s="1027"/>
      <c r="P104" s="1027"/>
    </row>
    <row r="105" spans="1:33" ht="13.5" customHeight="1" thickBot="1" x14ac:dyDescent="0.3">
      <c r="A105" s="1019" t="s">
        <v>995</v>
      </c>
      <c r="B105" s="1019"/>
      <c r="C105" s="1019"/>
      <c r="D105" s="1019"/>
      <c r="E105" s="1020"/>
      <c r="F105" s="1020"/>
      <c r="G105" s="1020"/>
      <c r="H105" s="1020"/>
      <c r="I105" s="1020"/>
      <c r="J105" s="1020"/>
      <c r="K105" s="1020"/>
      <c r="L105" s="1020"/>
      <c r="M105" s="1020"/>
      <c r="N105" s="1020"/>
      <c r="O105" s="1020"/>
      <c r="P105" s="1020"/>
    </row>
    <row r="106" spans="1:33" ht="88.5" customHeight="1" x14ac:dyDescent="0.25">
      <c r="A106" s="404" t="s">
        <v>996</v>
      </c>
      <c r="B106" s="405" t="s">
        <v>997</v>
      </c>
      <c r="C106" s="370" t="s">
        <v>998</v>
      </c>
      <c r="D106" s="478" t="s">
        <v>413</v>
      </c>
      <c r="E106" s="478" t="s">
        <v>42</v>
      </c>
      <c r="F106" s="478" t="s">
        <v>42</v>
      </c>
      <c r="G106" s="465">
        <v>1</v>
      </c>
      <c r="H106" s="545">
        <v>1</v>
      </c>
      <c r="I106" s="545">
        <v>1</v>
      </c>
      <c r="J106" s="545">
        <v>1</v>
      </c>
      <c r="K106" s="546">
        <v>1</v>
      </c>
      <c r="L106" s="287">
        <v>1</v>
      </c>
      <c r="M106" s="287">
        <v>1</v>
      </c>
      <c r="N106" s="287">
        <v>1</v>
      </c>
      <c r="O106" s="288">
        <v>1</v>
      </c>
      <c r="P106" s="431" t="s">
        <v>999</v>
      </c>
      <c r="Q106" s="149"/>
    </row>
    <row r="107" spans="1:33" ht="24" customHeight="1" x14ac:dyDescent="0.25">
      <c r="A107" s="404" t="s">
        <v>1000</v>
      </c>
      <c r="B107" s="405" t="s">
        <v>1001</v>
      </c>
      <c r="C107" s="524" t="s">
        <v>1002</v>
      </c>
      <c r="D107" s="547" t="s">
        <v>413</v>
      </c>
      <c r="E107" s="478" t="s">
        <v>42</v>
      </c>
      <c r="F107" s="478" t="s">
        <v>42</v>
      </c>
      <c r="G107" s="478" t="s">
        <v>42</v>
      </c>
      <c r="H107" s="465">
        <v>0.97</v>
      </c>
      <c r="I107" s="465">
        <v>1</v>
      </c>
      <c r="J107" s="465">
        <v>1</v>
      </c>
      <c r="K107" s="548">
        <v>1</v>
      </c>
      <c r="L107" s="548">
        <v>1</v>
      </c>
      <c r="M107" s="287">
        <v>1</v>
      </c>
      <c r="N107" s="287">
        <v>1</v>
      </c>
      <c r="O107" s="288">
        <v>1</v>
      </c>
      <c r="P107" s="442" t="s">
        <v>999</v>
      </c>
      <c r="Q107" s="149"/>
    </row>
    <row r="108" spans="1:33" ht="24" customHeight="1" x14ac:dyDescent="0.25">
      <c r="A108" s="404" t="s">
        <v>1003</v>
      </c>
      <c r="B108" s="405" t="s">
        <v>1004</v>
      </c>
      <c r="C108" s="524" t="s">
        <v>671</v>
      </c>
      <c r="D108" s="547" t="s">
        <v>413</v>
      </c>
      <c r="E108" s="549">
        <v>1.9038172116568615</v>
      </c>
      <c r="F108" s="550">
        <v>16.569395973154364</v>
      </c>
      <c r="G108" s="550">
        <v>34.013805920615958</v>
      </c>
      <c r="H108" s="550">
        <v>74.538034188034189</v>
      </c>
      <c r="I108" s="550">
        <v>256.68579492003767</v>
      </c>
      <c r="J108" s="550">
        <v>210.2</v>
      </c>
      <c r="K108" s="551">
        <v>50.96</v>
      </c>
      <c r="L108" s="551">
        <v>151.01351558900322</v>
      </c>
      <c r="M108" s="551">
        <v>105.15800444691494</v>
      </c>
      <c r="N108" s="551">
        <v>63.267543859649123</v>
      </c>
      <c r="O108" s="552">
        <v>17.065704519559436</v>
      </c>
      <c r="P108" s="442" t="s">
        <v>999</v>
      </c>
      <c r="Q108" s="149"/>
    </row>
    <row r="109" spans="1:33" ht="24" customHeight="1" thickBot="1" x14ac:dyDescent="0.3">
      <c r="A109" s="301" t="s">
        <v>1003</v>
      </c>
      <c r="B109" s="302" t="s">
        <v>1005</v>
      </c>
      <c r="C109" s="343" t="s">
        <v>671</v>
      </c>
      <c r="D109" s="344" t="s">
        <v>413</v>
      </c>
      <c r="E109" s="345">
        <v>1.6246913580246913</v>
      </c>
      <c r="F109" s="346">
        <v>5.6402068810434001</v>
      </c>
      <c r="G109" s="346">
        <v>9.1396374326310639</v>
      </c>
      <c r="H109" s="346">
        <v>8.6686311277792658</v>
      </c>
      <c r="I109" s="346">
        <v>12.753238257228837</v>
      </c>
      <c r="J109" s="346">
        <v>9.94</v>
      </c>
      <c r="K109" s="347">
        <v>21.62</v>
      </c>
      <c r="L109" s="348">
        <v>18.054983873444939</v>
      </c>
      <c r="M109" s="348">
        <v>22.116444333624234</v>
      </c>
      <c r="N109" s="348">
        <v>19.65493867010975</v>
      </c>
      <c r="O109" s="349">
        <v>12.052424639580602</v>
      </c>
      <c r="P109" s="395" t="s">
        <v>999</v>
      </c>
      <c r="Q109" s="149"/>
    </row>
    <row r="110" spans="1:33" x14ac:dyDescent="0.25">
      <c r="AG110" s="149"/>
    </row>
    <row r="111" spans="1:33" x14ac:dyDescent="0.25">
      <c r="AG111" s="149"/>
    </row>
    <row r="112" spans="1:33" x14ac:dyDescent="0.25">
      <c r="AG112" s="149"/>
    </row>
    <row r="113" spans="1:33" x14ac:dyDescent="0.25">
      <c r="AG113" s="149"/>
    </row>
    <row r="114" spans="1:33" x14ac:dyDescent="0.25">
      <c r="AG114" s="149"/>
    </row>
    <row r="115" spans="1:33" x14ac:dyDescent="0.25">
      <c r="AG115" s="149"/>
    </row>
    <row r="116" spans="1:33" x14ac:dyDescent="0.25">
      <c r="AG116" s="149"/>
    </row>
    <row r="117" spans="1:33" x14ac:dyDescent="0.25">
      <c r="AG117" s="149"/>
    </row>
    <row r="118" spans="1:33" x14ac:dyDescent="0.25">
      <c r="AG118" s="149"/>
    </row>
    <row r="119" spans="1:33" s="197" customFormat="1" x14ac:dyDescent="0.25">
      <c r="A119" s="198"/>
      <c r="E119" s="199"/>
      <c r="F119" s="199"/>
      <c r="G119" s="199"/>
      <c r="H119" s="199"/>
      <c r="I119" s="199"/>
      <c r="J119" s="199"/>
      <c r="K119" s="199"/>
      <c r="L119" s="199"/>
      <c r="M119" s="199"/>
      <c r="N119" s="199"/>
      <c r="O119" s="199"/>
      <c r="T119" s="132"/>
      <c r="U119" s="132"/>
      <c r="V119" s="132"/>
      <c r="W119" s="132"/>
      <c r="X119" s="132"/>
      <c r="Y119" s="132"/>
      <c r="Z119" s="132"/>
      <c r="AA119" s="132"/>
      <c r="AB119" s="132"/>
      <c r="AC119" s="132"/>
      <c r="AD119" s="132"/>
      <c r="AE119" s="132"/>
      <c r="AF119" s="132"/>
      <c r="AG119" s="194"/>
    </row>
    <row r="120" spans="1:33" x14ac:dyDescent="0.25">
      <c r="A120" s="200"/>
    </row>
  </sheetData>
  <sheetProtection selectLockedCells="1" selectUnlockedCells="1"/>
  <mergeCells count="71">
    <mergeCell ref="A3:A4"/>
    <mergeCell ref="B3:B4"/>
    <mergeCell ref="C3:C4"/>
    <mergeCell ref="P3:P4"/>
    <mergeCell ref="I3:I4"/>
    <mergeCell ref="J3:J4"/>
    <mergeCell ref="F3:F4"/>
    <mergeCell ref="K3:K4"/>
    <mergeCell ref="D3:D4"/>
    <mergeCell ref="H3:H4"/>
    <mergeCell ref="E3:E4"/>
    <mergeCell ref="G3:G4"/>
    <mergeCell ref="L3:L4"/>
    <mergeCell ref="M3:M4"/>
    <mergeCell ref="O3:O4"/>
    <mergeCell ref="A34:P34"/>
    <mergeCell ref="Q48:AD48"/>
    <mergeCell ref="A42:P42"/>
    <mergeCell ref="A5:E5"/>
    <mergeCell ref="A10:P10"/>
    <mergeCell ref="A23:E23"/>
    <mergeCell ref="A12:P12"/>
    <mergeCell ref="A16:P16"/>
    <mergeCell ref="A20:P20"/>
    <mergeCell ref="A15:P15"/>
    <mergeCell ref="A38:P38"/>
    <mergeCell ref="A67:P67"/>
    <mergeCell ref="A84:D84"/>
    <mergeCell ref="A68:P68"/>
    <mergeCell ref="A74:P74"/>
    <mergeCell ref="A40:P40"/>
    <mergeCell ref="A52:P52"/>
    <mergeCell ref="A26:P26"/>
    <mergeCell ref="A33:D33"/>
    <mergeCell ref="E33:P33"/>
    <mergeCell ref="A30:P30"/>
    <mergeCell ref="A27:C27"/>
    <mergeCell ref="A32:P32"/>
    <mergeCell ref="Q49:AD50"/>
    <mergeCell ref="N3:N4"/>
    <mergeCell ref="A98:P98"/>
    <mergeCell ref="C35:C37"/>
    <mergeCell ref="A91:P91"/>
    <mergeCell ref="Q54:R66"/>
    <mergeCell ref="A51:P51"/>
    <mergeCell ref="A73:P73"/>
    <mergeCell ref="E81:I81"/>
    <mergeCell ref="A83:P83"/>
    <mergeCell ref="A89:P89"/>
    <mergeCell ref="A90:C90"/>
    <mergeCell ref="A97:D97"/>
    <mergeCell ref="A95:D95"/>
    <mergeCell ref="E95:P95"/>
    <mergeCell ref="Q45:U45"/>
    <mergeCell ref="A105:D105"/>
    <mergeCell ref="E105:P105"/>
    <mergeCell ref="A100:P100"/>
    <mergeCell ref="A101:D101"/>
    <mergeCell ref="E101:P101"/>
    <mergeCell ref="A103:D103"/>
    <mergeCell ref="A104:P104"/>
    <mergeCell ref="E103:P103"/>
    <mergeCell ref="A99:D99"/>
    <mergeCell ref="E99:P99"/>
    <mergeCell ref="E92:P92"/>
    <mergeCell ref="A78:P78"/>
    <mergeCell ref="A82:P82"/>
    <mergeCell ref="A96:P96"/>
    <mergeCell ref="E97:P97"/>
    <mergeCell ref="A92:D92"/>
    <mergeCell ref="A87:C87"/>
  </mergeCells>
  <phoneticPr fontId="33" type="noConversion"/>
  <hyperlinks>
    <hyperlink ref="E1" location="Índice!A1" display="ir a índice" xr:uid="{1897E3C5-B20F-4E24-9E9C-C5AEC991BEEB}"/>
    <hyperlink ref="M1" location="Índice!A1" display="ir a índice" xr:uid="{728BE80B-0649-4B7A-81C3-33AD809795FF}"/>
  </hyperlinks>
  <printOptions horizontalCentered="1" verticalCentered="1"/>
  <pageMargins left="0.23622047244094491" right="0.23622047244094491" top="0" bottom="0" header="0.51181102362204722" footer="0.51181102362204722"/>
  <pageSetup paperSize="8" scale="45" firstPageNumber="0" fitToHeight="0"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BF8B2E"/>
  </sheetPr>
  <dimension ref="A1:E19"/>
  <sheetViews>
    <sheetView workbookViewId="0">
      <selection activeCell="M1" sqref="M1"/>
    </sheetView>
  </sheetViews>
  <sheetFormatPr baseColWidth="10" defaultColWidth="11.42578125" defaultRowHeight="14.25" x14ac:dyDescent="0.25"/>
  <cols>
    <col min="1" max="1" width="62.7109375" style="97" customWidth="1"/>
    <col min="2" max="2" width="20.28515625" style="97" customWidth="1"/>
    <col min="3" max="3" width="22.140625" style="97" customWidth="1"/>
    <col min="4" max="4" width="11.42578125" style="100"/>
    <col min="5" max="5" width="12.85546875" style="97" customWidth="1"/>
    <col min="6" max="256" width="11.42578125" style="97"/>
    <col min="257" max="257" width="49.28515625" style="97" customWidth="1"/>
    <col min="258" max="258" width="20.28515625" style="97" customWidth="1"/>
    <col min="259" max="259" width="22.140625" style="97" customWidth="1"/>
    <col min="260" max="512" width="11.42578125" style="97"/>
    <col min="513" max="513" width="49.28515625" style="97" customWidth="1"/>
    <col min="514" max="514" width="20.28515625" style="97" customWidth="1"/>
    <col min="515" max="515" width="22.140625" style="97" customWidth="1"/>
    <col min="516" max="768" width="11.42578125" style="97"/>
    <col min="769" max="769" width="49.28515625" style="97" customWidth="1"/>
    <col min="770" max="770" width="20.28515625" style="97" customWidth="1"/>
    <col min="771" max="771" width="22.140625" style="97" customWidth="1"/>
    <col min="772" max="1024" width="11.42578125" style="97"/>
    <col min="1025" max="1025" width="49.28515625" style="97" customWidth="1"/>
    <col min="1026" max="1026" width="20.28515625" style="97" customWidth="1"/>
    <col min="1027" max="1027" width="22.140625" style="97" customWidth="1"/>
    <col min="1028" max="1280" width="11.42578125" style="97"/>
    <col min="1281" max="1281" width="49.28515625" style="97" customWidth="1"/>
    <col min="1282" max="1282" width="20.28515625" style="97" customWidth="1"/>
    <col min="1283" max="1283" width="22.140625" style="97" customWidth="1"/>
    <col min="1284" max="1536" width="11.42578125" style="97"/>
    <col min="1537" max="1537" width="49.28515625" style="97" customWidth="1"/>
    <col min="1538" max="1538" width="20.28515625" style="97" customWidth="1"/>
    <col min="1539" max="1539" width="22.140625" style="97" customWidth="1"/>
    <col min="1540" max="1792" width="11.42578125" style="97"/>
    <col min="1793" max="1793" width="49.28515625" style="97" customWidth="1"/>
    <col min="1794" max="1794" width="20.28515625" style="97" customWidth="1"/>
    <col min="1795" max="1795" width="22.140625" style="97" customWidth="1"/>
    <col min="1796" max="2048" width="11.42578125" style="97"/>
    <col min="2049" max="2049" width="49.28515625" style="97" customWidth="1"/>
    <col min="2050" max="2050" width="20.28515625" style="97" customWidth="1"/>
    <col min="2051" max="2051" width="22.140625" style="97" customWidth="1"/>
    <col min="2052" max="2304" width="11.42578125" style="97"/>
    <col min="2305" max="2305" width="49.28515625" style="97" customWidth="1"/>
    <col min="2306" max="2306" width="20.28515625" style="97" customWidth="1"/>
    <col min="2307" max="2307" width="22.140625" style="97" customWidth="1"/>
    <col min="2308" max="2560" width="11.42578125" style="97"/>
    <col min="2561" max="2561" width="49.28515625" style="97" customWidth="1"/>
    <col min="2562" max="2562" width="20.28515625" style="97" customWidth="1"/>
    <col min="2563" max="2563" width="22.140625" style="97" customWidth="1"/>
    <col min="2564" max="2816" width="11.42578125" style="97"/>
    <col min="2817" max="2817" width="49.28515625" style="97" customWidth="1"/>
    <col min="2818" max="2818" width="20.28515625" style="97" customWidth="1"/>
    <col min="2819" max="2819" width="22.140625" style="97" customWidth="1"/>
    <col min="2820" max="3072" width="11.42578125" style="97"/>
    <col min="3073" max="3073" width="49.28515625" style="97" customWidth="1"/>
    <col min="3074" max="3074" width="20.28515625" style="97" customWidth="1"/>
    <col min="3075" max="3075" width="22.140625" style="97" customWidth="1"/>
    <col min="3076" max="3328" width="11.42578125" style="97"/>
    <col min="3329" max="3329" width="49.28515625" style="97" customWidth="1"/>
    <col min="3330" max="3330" width="20.28515625" style="97" customWidth="1"/>
    <col min="3331" max="3331" width="22.140625" style="97" customWidth="1"/>
    <col min="3332" max="3584" width="11.42578125" style="97"/>
    <col min="3585" max="3585" width="49.28515625" style="97" customWidth="1"/>
    <col min="3586" max="3586" width="20.28515625" style="97" customWidth="1"/>
    <col min="3587" max="3587" width="22.140625" style="97" customWidth="1"/>
    <col min="3588" max="3840" width="11.42578125" style="97"/>
    <col min="3841" max="3841" width="49.28515625" style="97" customWidth="1"/>
    <col min="3842" max="3842" width="20.28515625" style="97" customWidth="1"/>
    <col min="3843" max="3843" width="22.140625" style="97" customWidth="1"/>
    <col min="3844" max="4096" width="11.42578125" style="97"/>
    <col min="4097" max="4097" width="49.28515625" style="97" customWidth="1"/>
    <col min="4098" max="4098" width="20.28515625" style="97" customWidth="1"/>
    <col min="4099" max="4099" width="22.140625" style="97" customWidth="1"/>
    <col min="4100" max="4352" width="11.42578125" style="97"/>
    <col min="4353" max="4353" width="49.28515625" style="97" customWidth="1"/>
    <col min="4354" max="4354" width="20.28515625" style="97" customWidth="1"/>
    <col min="4355" max="4355" width="22.140625" style="97" customWidth="1"/>
    <col min="4356" max="4608" width="11.42578125" style="97"/>
    <col min="4609" max="4609" width="49.28515625" style="97" customWidth="1"/>
    <col min="4610" max="4610" width="20.28515625" style="97" customWidth="1"/>
    <col min="4611" max="4611" width="22.140625" style="97" customWidth="1"/>
    <col min="4612" max="4864" width="11.42578125" style="97"/>
    <col min="4865" max="4865" width="49.28515625" style="97" customWidth="1"/>
    <col min="4866" max="4866" width="20.28515625" style="97" customWidth="1"/>
    <col min="4867" max="4867" width="22.140625" style="97" customWidth="1"/>
    <col min="4868" max="5120" width="11.42578125" style="97"/>
    <col min="5121" max="5121" width="49.28515625" style="97" customWidth="1"/>
    <col min="5122" max="5122" width="20.28515625" style="97" customWidth="1"/>
    <col min="5123" max="5123" width="22.140625" style="97" customWidth="1"/>
    <col min="5124" max="5376" width="11.42578125" style="97"/>
    <col min="5377" max="5377" width="49.28515625" style="97" customWidth="1"/>
    <col min="5378" max="5378" width="20.28515625" style="97" customWidth="1"/>
    <col min="5379" max="5379" width="22.140625" style="97" customWidth="1"/>
    <col min="5380" max="5632" width="11.42578125" style="97"/>
    <col min="5633" max="5633" width="49.28515625" style="97" customWidth="1"/>
    <col min="5634" max="5634" width="20.28515625" style="97" customWidth="1"/>
    <col min="5635" max="5635" width="22.140625" style="97" customWidth="1"/>
    <col min="5636" max="5888" width="11.42578125" style="97"/>
    <col min="5889" max="5889" width="49.28515625" style="97" customWidth="1"/>
    <col min="5890" max="5890" width="20.28515625" style="97" customWidth="1"/>
    <col min="5891" max="5891" width="22.140625" style="97" customWidth="1"/>
    <col min="5892" max="6144" width="11.42578125" style="97"/>
    <col min="6145" max="6145" width="49.28515625" style="97" customWidth="1"/>
    <col min="6146" max="6146" width="20.28515625" style="97" customWidth="1"/>
    <col min="6147" max="6147" width="22.140625" style="97" customWidth="1"/>
    <col min="6148" max="6400" width="11.42578125" style="97"/>
    <col min="6401" max="6401" width="49.28515625" style="97" customWidth="1"/>
    <col min="6402" max="6402" width="20.28515625" style="97" customWidth="1"/>
    <col min="6403" max="6403" width="22.140625" style="97" customWidth="1"/>
    <col min="6404" max="6656" width="11.42578125" style="97"/>
    <col min="6657" max="6657" width="49.28515625" style="97" customWidth="1"/>
    <col min="6658" max="6658" width="20.28515625" style="97" customWidth="1"/>
    <col min="6659" max="6659" width="22.140625" style="97" customWidth="1"/>
    <col min="6660" max="6912" width="11.42578125" style="97"/>
    <col min="6913" max="6913" width="49.28515625" style="97" customWidth="1"/>
    <col min="6914" max="6914" width="20.28515625" style="97" customWidth="1"/>
    <col min="6915" max="6915" width="22.140625" style="97" customWidth="1"/>
    <col min="6916" max="7168" width="11.42578125" style="97"/>
    <col min="7169" max="7169" width="49.28515625" style="97" customWidth="1"/>
    <col min="7170" max="7170" width="20.28515625" style="97" customWidth="1"/>
    <col min="7171" max="7171" width="22.140625" style="97" customWidth="1"/>
    <col min="7172" max="7424" width="11.42578125" style="97"/>
    <col min="7425" max="7425" width="49.28515625" style="97" customWidth="1"/>
    <col min="7426" max="7426" width="20.28515625" style="97" customWidth="1"/>
    <col min="7427" max="7427" width="22.140625" style="97" customWidth="1"/>
    <col min="7428" max="7680" width="11.42578125" style="97"/>
    <col min="7681" max="7681" width="49.28515625" style="97" customWidth="1"/>
    <col min="7682" max="7682" width="20.28515625" style="97" customWidth="1"/>
    <col min="7683" max="7683" width="22.140625" style="97" customWidth="1"/>
    <col min="7684" max="7936" width="11.42578125" style="97"/>
    <col min="7937" max="7937" width="49.28515625" style="97" customWidth="1"/>
    <col min="7938" max="7938" width="20.28515625" style="97" customWidth="1"/>
    <col min="7939" max="7939" width="22.140625" style="97" customWidth="1"/>
    <col min="7940" max="8192" width="11.42578125" style="97"/>
    <col min="8193" max="8193" width="49.28515625" style="97" customWidth="1"/>
    <col min="8194" max="8194" width="20.28515625" style="97" customWidth="1"/>
    <col min="8195" max="8195" width="22.140625" style="97" customWidth="1"/>
    <col min="8196" max="8448" width="11.42578125" style="97"/>
    <col min="8449" max="8449" width="49.28515625" style="97" customWidth="1"/>
    <col min="8450" max="8450" width="20.28515625" style="97" customWidth="1"/>
    <col min="8451" max="8451" width="22.140625" style="97" customWidth="1"/>
    <col min="8452" max="8704" width="11.42578125" style="97"/>
    <col min="8705" max="8705" width="49.28515625" style="97" customWidth="1"/>
    <col min="8706" max="8706" width="20.28515625" style="97" customWidth="1"/>
    <col min="8707" max="8707" width="22.140625" style="97" customWidth="1"/>
    <col min="8708" max="8960" width="11.42578125" style="97"/>
    <col min="8961" max="8961" width="49.28515625" style="97" customWidth="1"/>
    <col min="8962" max="8962" width="20.28515625" style="97" customWidth="1"/>
    <col min="8963" max="8963" width="22.140625" style="97" customWidth="1"/>
    <col min="8964" max="9216" width="11.42578125" style="97"/>
    <col min="9217" max="9217" width="49.28515625" style="97" customWidth="1"/>
    <col min="9218" max="9218" width="20.28515625" style="97" customWidth="1"/>
    <col min="9219" max="9219" width="22.140625" style="97" customWidth="1"/>
    <col min="9220" max="9472" width="11.42578125" style="97"/>
    <col min="9473" max="9473" width="49.28515625" style="97" customWidth="1"/>
    <col min="9474" max="9474" width="20.28515625" style="97" customWidth="1"/>
    <col min="9475" max="9475" width="22.140625" style="97" customWidth="1"/>
    <col min="9476" max="9728" width="11.42578125" style="97"/>
    <col min="9729" max="9729" width="49.28515625" style="97" customWidth="1"/>
    <col min="9730" max="9730" width="20.28515625" style="97" customWidth="1"/>
    <col min="9731" max="9731" width="22.140625" style="97" customWidth="1"/>
    <col min="9732" max="9984" width="11.42578125" style="97"/>
    <col min="9985" max="9985" width="49.28515625" style="97" customWidth="1"/>
    <col min="9986" max="9986" width="20.28515625" style="97" customWidth="1"/>
    <col min="9987" max="9987" width="22.140625" style="97" customWidth="1"/>
    <col min="9988" max="10240" width="11.42578125" style="97"/>
    <col min="10241" max="10241" width="49.28515625" style="97" customWidth="1"/>
    <col min="10242" max="10242" width="20.28515625" style="97" customWidth="1"/>
    <col min="10243" max="10243" width="22.140625" style="97" customWidth="1"/>
    <col min="10244" max="10496" width="11.42578125" style="97"/>
    <col min="10497" max="10497" width="49.28515625" style="97" customWidth="1"/>
    <col min="10498" max="10498" width="20.28515625" style="97" customWidth="1"/>
    <col min="10499" max="10499" width="22.140625" style="97" customWidth="1"/>
    <col min="10500" max="10752" width="11.42578125" style="97"/>
    <col min="10753" max="10753" width="49.28515625" style="97" customWidth="1"/>
    <col min="10754" max="10754" width="20.28515625" style="97" customWidth="1"/>
    <col min="10755" max="10755" width="22.140625" style="97" customWidth="1"/>
    <col min="10756" max="11008" width="11.42578125" style="97"/>
    <col min="11009" max="11009" width="49.28515625" style="97" customWidth="1"/>
    <col min="11010" max="11010" width="20.28515625" style="97" customWidth="1"/>
    <col min="11011" max="11011" width="22.140625" style="97" customWidth="1"/>
    <col min="11012" max="11264" width="11.42578125" style="97"/>
    <col min="11265" max="11265" width="49.28515625" style="97" customWidth="1"/>
    <col min="11266" max="11266" width="20.28515625" style="97" customWidth="1"/>
    <col min="11267" max="11267" width="22.140625" style="97" customWidth="1"/>
    <col min="11268" max="11520" width="11.42578125" style="97"/>
    <col min="11521" max="11521" width="49.28515625" style="97" customWidth="1"/>
    <col min="11522" max="11522" width="20.28515625" style="97" customWidth="1"/>
    <col min="11523" max="11523" width="22.140625" style="97" customWidth="1"/>
    <col min="11524" max="11776" width="11.42578125" style="97"/>
    <col min="11777" max="11777" width="49.28515625" style="97" customWidth="1"/>
    <col min="11778" max="11778" width="20.28515625" style="97" customWidth="1"/>
    <col min="11779" max="11779" width="22.140625" style="97" customWidth="1"/>
    <col min="11780" max="12032" width="11.42578125" style="97"/>
    <col min="12033" max="12033" width="49.28515625" style="97" customWidth="1"/>
    <col min="12034" max="12034" width="20.28515625" style="97" customWidth="1"/>
    <col min="12035" max="12035" width="22.140625" style="97" customWidth="1"/>
    <col min="12036" max="12288" width="11.42578125" style="97"/>
    <col min="12289" max="12289" width="49.28515625" style="97" customWidth="1"/>
    <col min="12290" max="12290" width="20.28515625" style="97" customWidth="1"/>
    <col min="12291" max="12291" width="22.140625" style="97" customWidth="1"/>
    <col min="12292" max="12544" width="11.42578125" style="97"/>
    <col min="12545" max="12545" width="49.28515625" style="97" customWidth="1"/>
    <col min="12546" max="12546" width="20.28515625" style="97" customWidth="1"/>
    <col min="12547" max="12547" width="22.140625" style="97" customWidth="1"/>
    <col min="12548" max="12800" width="11.42578125" style="97"/>
    <col min="12801" max="12801" width="49.28515625" style="97" customWidth="1"/>
    <col min="12802" max="12802" width="20.28515625" style="97" customWidth="1"/>
    <col min="12803" max="12803" width="22.140625" style="97" customWidth="1"/>
    <col min="12804" max="13056" width="11.42578125" style="97"/>
    <col min="13057" max="13057" width="49.28515625" style="97" customWidth="1"/>
    <col min="13058" max="13058" width="20.28515625" style="97" customWidth="1"/>
    <col min="13059" max="13059" width="22.140625" style="97" customWidth="1"/>
    <col min="13060" max="13312" width="11.42578125" style="97"/>
    <col min="13313" max="13313" width="49.28515625" style="97" customWidth="1"/>
    <col min="13314" max="13314" width="20.28515625" style="97" customWidth="1"/>
    <col min="13315" max="13315" width="22.140625" style="97" customWidth="1"/>
    <col min="13316" max="13568" width="11.42578125" style="97"/>
    <col min="13569" max="13569" width="49.28515625" style="97" customWidth="1"/>
    <col min="13570" max="13570" width="20.28515625" style="97" customWidth="1"/>
    <col min="13571" max="13571" width="22.140625" style="97" customWidth="1"/>
    <col min="13572" max="13824" width="11.42578125" style="97"/>
    <col min="13825" max="13825" width="49.28515625" style="97" customWidth="1"/>
    <col min="13826" max="13826" width="20.28515625" style="97" customWidth="1"/>
    <col min="13827" max="13827" width="22.140625" style="97" customWidth="1"/>
    <col min="13828" max="14080" width="11.42578125" style="97"/>
    <col min="14081" max="14081" width="49.28515625" style="97" customWidth="1"/>
    <col min="14082" max="14082" width="20.28515625" style="97" customWidth="1"/>
    <col min="14083" max="14083" width="22.140625" style="97" customWidth="1"/>
    <col min="14084" max="14336" width="11.42578125" style="97"/>
    <col min="14337" max="14337" width="49.28515625" style="97" customWidth="1"/>
    <col min="14338" max="14338" width="20.28515625" style="97" customWidth="1"/>
    <col min="14339" max="14339" width="22.140625" style="97" customWidth="1"/>
    <col min="14340" max="14592" width="11.42578125" style="97"/>
    <col min="14593" max="14593" width="49.28515625" style="97" customWidth="1"/>
    <col min="14594" max="14594" width="20.28515625" style="97" customWidth="1"/>
    <col min="14595" max="14595" width="22.140625" style="97" customWidth="1"/>
    <col min="14596" max="14848" width="11.42578125" style="97"/>
    <col min="14849" max="14849" width="49.28515625" style="97" customWidth="1"/>
    <col min="14850" max="14850" width="20.28515625" style="97" customWidth="1"/>
    <col min="14851" max="14851" width="22.140625" style="97" customWidth="1"/>
    <col min="14852" max="15104" width="11.42578125" style="97"/>
    <col min="15105" max="15105" width="49.28515625" style="97" customWidth="1"/>
    <col min="15106" max="15106" width="20.28515625" style="97" customWidth="1"/>
    <col min="15107" max="15107" width="22.140625" style="97" customWidth="1"/>
    <col min="15108" max="15360" width="11.42578125" style="97"/>
    <col min="15361" max="15361" width="49.28515625" style="97" customWidth="1"/>
    <col min="15362" max="15362" width="20.28515625" style="97" customWidth="1"/>
    <col min="15363" max="15363" width="22.140625" style="97" customWidth="1"/>
    <col min="15364" max="15616" width="11.42578125" style="97"/>
    <col min="15617" max="15617" width="49.28515625" style="97" customWidth="1"/>
    <col min="15618" max="15618" width="20.28515625" style="97" customWidth="1"/>
    <col min="15619" max="15619" width="22.140625" style="97" customWidth="1"/>
    <col min="15620" max="15872" width="11.42578125" style="97"/>
    <col min="15873" max="15873" width="49.28515625" style="97" customWidth="1"/>
    <col min="15874" max="15874" width="20.28515625" style="97" customWidth="1"/>
    <col min="15875" max="15875" width="22.140625" style="97" customWidth="1"/>
    <col min="15876" max="16128" width="11.42578125" style="97"/>
    <col min="16129" max="16129" width="49.28515625" style="97" customWidth="1"/>
    <col min="16130" max="16130" width="20.28515625" style="97" customWidth="1"/>
    <col min="16131" max="16131" width="22.140625" style="97" customWidth="1"/>
    <col min="16132" max="16384" width="11.42578125" style="97"/>
  </cols>
  <sheetData>
    <row r="1" spans="1:5" x14ac:dyDescent="0.25">
      <c r="A1" s="555" t="s">
        <v>1059</v>
      </c>
      <c r="B1" s="163"/>
      <c r="C1" s="163"/>
      <c r="E1" s="942" t="s">
        <v>1230</v>
      </c>
    </row>
    <row r="2" spans="1:5" x14ac:dyDescent="0.25">
      <c r="A2" s="555" t="s">
        <v>81</v>
      </c>
      <c r="B2" s="611"/>
      <c r="C2" s="611"/>
    </row>
    <row r="3" spans="1:5" ht="21" customHeight="1" x14ac:dyDescent="0.25">
      <c r="A3" t="s">
        <v>44</v>
      </c>
      <c r="B3" t="s">
        <v>45</v>
      </c>
      <c r="C3" t="s">
        <v>46</v>
      </c>
      <c r="D3" s="610"/>
    </row>
    <row r="4" spans="1:5" ht="21" customHeight="1" x14ac:dyDescent="0.25">
      <c r="A4" t="s">
        <v>1057</v>
      </c>
      <c r="B4" t="s">
        <v>47</v>
      </c>
      <c r="C4" t="s">
        <v>48</v>
      </c>
      <c r="D4" s="275"/>
    </row>
    <row r="5" spans="1:5" ht="21" customHeight="1" x14ac:dyDescent="0.25">
      <c r="A5" t="s">
        <v>49</v>
      </c>
      <c r="B5" t="s">
        <v>50</v>
      </c>
      <c r="C5" t="s">
        <v>51</v>
      </c>
      <c r="D5" s="275"/>
    </row>
    <row r="6" spans="1:5" ht="21" customHeight="1" x14ac:dyDescent="0.25">
      <c r="A6" t="s">
        <v>52</v>
      </c>
      <c r="B6" t="s">
        <v>53</v>
      </c>
      <c r="C6" t="s">
        <v>54</v>
      </c>
      <c r="D6" s="275"/>
    </row>
    <row r="7" spans="1:5" ht="21" customHeight="1" x14ac:dyDescent="0.25">
      <c r="A7" t="s">
        <v>1058</v>
      </c>
      <c r="B7" t="s">
        <v>55</v>
      </c>
      <c r="C7" t="s">
        <v>56</v>
      </c>
      <c r="D7" s="275"/>
    </row>
    <row r="8" spans="1:5" ht="21" customHeight="1" x14ac:dyDescent="0.25">
      <c r="A8" t="s">
        <v>57</v>
      </c>
      <c r="B8" t="s">
        <v>58</v>
      </c>
      <c r="C8" t="s">
        <v>56</v>
      </c>
      <c r="D8" s="275"/>
    </row>
    <row r="9" spans="1:5" ht="21" customHeight="1" x14ac:dyDescent="0.25">
      <c r="A9" t="s">
        <v>59</v>
      </c>
      <c r="B9" t="s">
        <v>60</v>
      </c>
      <c r="C9" t="s">
        <v>56</v>
      </c>
      <c r="D9" s="275"/>
    </row>
    <row r="10" spans="1:5" ht="21" customHeight="1" x14ac:dyDescent="0.25">
      <c r="A10" t="s">
        <v>61</v>
      </c>
      <c r="B10" t="s">
        <v>62</v>
      </c>
      <c r="C10" t="s">
        <v>56</v>
      </c>
      <c r="D10" s="275"/>
    </row>
    <row r="11" spans="1:5" ht="21" customHeight="1" x14ac:dyDescent="0.25">
      <c r="A11" t="s">
        <v>63</v>
      </c>
      <c r="B11" t="s">
        <v>64</v>
      </c>
      <c r="C11" t="s">
        <v>56</v>
      </c>
      <c r="D11" s="275"/>
    </row>
    <row r="12" spans="1:5" ht="21" customHeight="1" x14ac:dyDescent="0.25">
      <c r="A12" t="s">
        <v>65</v>
      </c>
      <c r="B12" t="s">
        <v>66</v>
      </c>
      <c r="C12" t="s">
        <v>54</v>
      </c>
      <c r="D12" s="275"/>
    </row>
    <row r="13" spans="1:5" ht="21" customHeight="1" x14ac:dyDescent="0.25">
      <c r="A13" t="s">
        <v>67</v>
      </c>
      <c r="B13" t="s">
        <v>68</v>
      </c>
      <c r="C13" t="s">
        <v>69</v>
      </c>
      <c r="D13" s="275"/>
    </row>
    <row r="14" spans="1:5" ht="21" customHeight="1" x14ac:dyDescent="0.25">
      <c r="A14" t="s">
        <v>70</v>
      </c>
      <c r="B14" t="s">
        <v>71</v>
      </c>
      <c r="C14" t="s">
        <v>72</v>
      </c>
      <c r="D14" s="275"/>
    </row>
    <row r="15" spans="1:5" ht="21" customHeight="1" x14ac:dyDescent="0.25">
      <c r="A15" t="s">
        <v>73</v>
      </c>
      <c r="B15" t="s">
        <v>74</v>
      </c>
      <c r="C15" t="s">
        <v>51</v>
      </c>
      <c r="D15" s="275"/>
    </row>
    <row r="16" spans="1:5" ht="21" customHeight="1" x14ac:dyDescent="0.25">
      <c r="A16" t="s">
        <v>75</v>
      </c>
      <c r="B16" t="s">
        <v>76</v>
      </c>
      <c r="C16" t="s">
        <v>77</v>
      </c>
      <c r="D16" s="275"/>
    </row>
    <row r="17" spans="1:4" ht="21" customHeight="1" x14ac:dyDescent="0.25">
      <c r="A17" t="s">
        <v>78</v>
      </c>
      <c r="B17" t="s">
        <v>79</v>
      </c>
      <c r="C17" t="s">
        <v>80</v>
      </c>
      <c r="D17" s="275"/>
    </row>
    <row r="18" spans="1:4" x14ac:dyDescent="0.25">
      <c r="A18" s="166"/>
      <c r="B18" s="167"/>
      <c r="C18" s="167"/>
    </row>
    <row r="19" spans="1:4" x14ac:dyDescent="0.25">
      <c r="A19" s="179"/>
      <c r="B19" s="165"/>
      <c r="C19" s="164"/>
    </row>
  </sheetData>
  <hyperlinks>
    <hyperlink ref="E1" location="Índice!A1" display="ir a índice" xr:uid="{31F95A62-63DA-4D25-ACFB-F97331F04D65}"/>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BF8B2E"/>
    <pageSetUpPr fitToPage="1"/>
  </sheetPr>
  <dimension ref="A1:Z45"/>
  <sheetViews>
    <sheetView zoomScale="120" zoomScaleNormal="120" workbookViewId="0">
      <selection activeCell="M1" sqref="M1"/>
    </sheetView>
  </sheetViews>
  <sheetFormatPr baseColWidth="10" defaultColWidth="11.42578125" defaultRowHeight="14.25" x14ac:dyDescent="0.25"/>
  <cols>
    <col min="1" max="1" width="36" style="612" customWidth="1"/>
    <col min="2" max="4" width="12.5703125" style="613" customWidth="1"/>
    <col min="5" max="5" width="12.85546875" style="613" customWidth="1"/>
    <col min="6" max="14" width="12.5703125" style="613" customWidth="1"/>
    <col min="15" max="15" width="8.5703125" style="612" customWidth="1"/>
    <col min="16" max="16" width="8.85546875" style="612" customWidth="1"/>
    <col min="17" max="17" width="9.140625" style="612" customWidth="1"/>
    <col min="18" max="18" width="9.85546875" style="612" customWidth="1"/>
    <col min="19" max="19" width="12" style="612" customWidth="1"/>
    <col min="20" max="20" width="10" style="612" customWidth="1"/>
    <col min="21" max="21" width="10.28515625" style="612" customWidth="1"/>
    <col min="22" max="22" width="13" style="612" customWidth="1"/>
    <col min="23" max="16384" width="11.42578125" style="612"/>
  </cols>
  <sheetData>
    <row r="1" spans="1:22" ht="17.25" customHeight="1" x14ac:dyDescent="0.25">
      <c r="A1" s="555" t="s">
        <v>1062</v>
      </c>
      <c r="C1" s="614"/>
      <c r="E1" s="942" t="s">
        <v>1230</v>
      </c>
    </row>
    <row r="2" spans="1:22" ht="27.75" customHeight="1" x14ac:dyDescent="0.25">
      <c r="A2" s="555" t="s">
        <v>91</v>
      </c>
      <c r="B2" s="616"/>
      <c r="H2" s="617"/>
      <c r="I2" s="617"/>
      <c r="J2" s="617"/>
      <c r="K2" s="617"/>
      <c r="L2" s="617"/>
      <c r="M2" s="617"/>
      <c r="N2" s="618"/>
      <c r="O2" s="563"/>
      <c r="P2" s="562"/>
      <c r="Q2" s="562"/>
      <c r="R2" s="563"/>
      <c r="S2" s="562"/>
      <c r="T2" s="562"/>
      <c r="U2" s="619"/>
    </row>
    <row r="3" spans="1:22" x14ac:dyDescent="0.25">
      <c r="A3" s="604" t="s">
        <v>1008</v>
      </c>
      <c r="B3" s="604" t="s">
        <v>1060</v>
      </c>
      <c r="C3" s="604" t="s">
        <v>1061</v>
      </c>
      <c r="D3" s="604" t="s">
        <v>1043</v>
      </c>
      <c r="E3" s="604" t="s">
        <v>1044</v>
      </c>
      <c r="F3" s="604" t="s">
        <v>1045</v>
      </c>
      <c r="G3" s="604" t="s">
        <v>1046</v>
      </c>
      <c r="H3" s="604" t="s">
        <v>1047</v>
      </c>
      <c r="I3" s="604" t="s">
        <v>1048</v>
      </c>
      <c r="J3" s="604" t="s">
        <v>1049</v>
      </c>
      <c r="K3" s="604" t="s">
        <v>1050</v>
      </c>
      <c r="L3" s="604" t="s">
        <v>1051</v>
      </c>
      <c r="M3" s="604" t="s">
        <v>1052</v>
      </c>
      <c r="N3" s="604" t="s">
        <v>1053</v>
      </c>
      <c r="O3" s="564"/>
      <c r="P3" s="563"/>
      <c r="Q3" s="563"/>
      <c r="R3" s="563"/>
      <c r="S3" s="563"/>
      <c r="T3" s="944"/>
      <c r="U3" s="944"/>
      <c r="V3" s="619"/>
    </row>
    <row r="4" spans="1:22" x14ac:dyDescent="0.25">
      <c r="A4" s="604" t="s">
        <v>82</v>
      </c>
      <c r="B4" s="675">
        <v>479442.27600000001</v>
      </c>
      <c r="C4" s="675">
        <v>487573.9</v>
      </c>
      <c r="D4" s="675">
        <v>445231.89432012604</v>
      </c>
      <c r="E4" s="675">
        <v>431262.90299999987</v>
      </c>
      <c r="F4" s="675">
        <v>434387</v>
      </c>
      <c r="G4" s="675">
        <v>438031.49</v>
      </c>
      <c r="H4" s="675">
        <v>444648.54199999996</v>
      </c>
      <c r="I4" s="675">
        <v>460274.16399999999</v>
      </c>
      <c r="J4" s="675">
        <v>457585</v>
      </c>
      <c r="K4" s="675">
        <v>450864.45599999948</v>
      </c>
      <c r="L4" s="675">
        <v>437970.02999999974</v>
      </c>
      <c r="M4" s="675">
        <v>445769.53500000091</v>
      </c>
      <c r="N4" s="675">
        <v>432384.80599999911</v>
      </c>
      <c r="O4" s="621">
        <f>N4/$N$9</f>
        <v>0.69974481816840206</v>
      </c>
      <c r="P4" s="563"/>
      <c r="Q4" s="562"/>
      <c r="R4" s="562"/>
      <c r="S4" s="563"/>
      <c r="T4" s="620"/>
      <c r="U4" s="622"/>
      <c r="V4" s="619"/>
    </row>
    <row r="5" spans="1:22" x14ac:dyDescent="0.25">
      <c r="A5" s="604" t="s">
        <v>83</v>
      </c>
      <c r="B5" s="675">
        <v>71266.00567811256</v>
      </c>
      <c r="C5" s="675">
        <v>68862.64</v>
      </c>
      <c r="D5" s="675">
        <v>64795.211845999998</v>
      </c>
      <c r="E5" s="675">
        <v>60580.736100999995</v>
      </c>
      <c r="F5" s="675">
        <v>58250.977509999997</v>
      </c>
      <c r="G5" s="675">
        <v>60348.874080000001</v>
      </c>
      <c r="H5" s="675">
        <v>64257.041732999998</v>
      </c>
      <c r="I5" s="675">
        <v>66123.015723000004</v>
      </c>
      <c r="J5" s="675">
        <v>72940.534974795126</v>
      </c>
      <c r="K5" s="675">
        <v>78202.790542338742</v>
      </c>
      <c r="L5" s="675">
        <v>81917.551628344023</v>
      </c>
      <c r="M5" s="675">
        <v>83633.775269444799</v>
      </c>
      <c r="N5" s="675">
        <v>83717.828111997864</v>
      </c>
      <c r="O5" s="623">
        <f t="shared" ref="O5:O8" si="0">N5/$N$9</f>
        <v>0.1354837533529881</v>
      </c>
      <c r="P5" s="624"/>
      <c r="Q5" s="625">
        <f>O4+O6</f>
        <v>0.71790668256029666</v>
      </c>
      <c r="R5" s="626" t="s">
        <v>84</v>
      </c>
      <c r="S5" s="563"/>
      <c r="T5" s="627"/>
      <c r="U5" s="622"/>
      <c r="V5" s="619"/>
    </row>
    <row r="6" spans="1:22" x14ac:dyDescent="0.25">
      <c r="A6" s="604" t="s">
        <v>85</v>
      </c>
      <c r="B6" s="675">
        <v>4981.13</v>
      </c>
      <c r="C6" s="675">
        <v>4781.07</v>
      </c>
      <c r="D6" s="675">
        <v>11103.74</v>
      </c>
      <c r="E6" s="675">
        <v>9636.14</v>
      </c>
      <c r="F6" s="675">
        <v>8100.66</v>
      </c>
      <c r="G6" s="675">
        <v>11213</v>
      </c>
      <c r="H6" s="675">
        <v>14289.83</v>
      </c>
      <c r="I6" s="675">
        <v>13745.21</v>
      </c>
      <c r="J6" s="675">
        <v>19226.216000000029</v>
      </c>
      <c r="K6" s="675">
        <v>16412.009999999995</v>
      </c>
      <c r="L6" s="675">
        <v>14532.15000000002</v>
      </c>
      <c r="M6" s="675">
        <v>15037.5</v>
      </c>
      <c r="N6" s="675">
        <v>11222.54</v>
      </c>
      <c r="O6" s="621">
        <f t="shared" si="0"/>
        <v>1.8161864391894555E-2</v>
      </c>
      <c r="P6" s="624"/>
      <c r="Q6" s="628">
        <f>O5+O7+O8</f>
        <v>0.28209331743970339</v>
      </c>
      <c r="R6" s="626" t="s">
        <v>86</v>
      </c>
      <c r="S6" s="563"/>
      <c r="T6" s="627"/>
      <c r="U6" s="622"/>
      <c r="V6" s="619"/>
    </row>
    <row r="7" spans="1:22" x14ac:dyDescent="0.25">
      <c r="A7" s="604" t="s">
        <v>87</v>
      </c>
      <c r="B7" s="675">
        <v>39150.870000000003</v>
      </c>
      <c r="C7" s="675">
        <v>40555.324999999997</v>
      </c>
      <c r="D7" s="675">
        <v>38616.089</v>
      </c>
      <c r="E7" s="675">
        <v>39823.130900000004</v>
      </c>
      <c r="F7" s="675">
        <v>41411.557750000007</v>
      </c>
      <c r="G7" s="675">
        <v>44581.91810000001</v>
      </c>
      <c r="H7" s="675">
        <v>48468.200089999984</v>
      </c>
      <c r="I7" s="675">
        <v>49214.862799999995</v>
      </c>
      <c r="J7" s="675">
        <v>49290.0262</v>
      </c>
      <c r="K7" s="675">
        <v>53785.617279999999</v>
      </c>
      <c r="L7" s="675">
        <v>49290.039199999999</v>
      </c>
      <c r="M7" s="675">
        <v>57912.974099999999</v>
      </c>
      <c r="N7" s="675">
        <v>55094.001099999994</v>
      </c>
      <c r="O7" s="623">
        <f t="shared" si="0"/>
        <v>8.9160722687117999E-2</v>
      </c>
      <c r="P7" s="563"/>
      <c r="Q7" s="629"/>
      <c r="R7" s="630"/>
      <c r="S7" s="563"/>
      <c r="T7" s="620"/>
      <c r="U7" s="622"/>
      <c r="V7" s="619"/>
    </row>
    <row r="8" spans="1:22" x14ac:dyDescent="0.25">
      <c r="A8" s="604" t="s">
        <v>88</v>
      </c>
      <c r="B8" s="675">
        <v>64896.2186028</v>
      </c>
      <c r="C8" s="675">
        <v>17047.535</v>
      </c>
      <c r="D8" s="675">
        <v>28074.601014</v>
      </c>
      <c r="E8" s="675">
        <v>26836.612999999998</v>
      </c>
      <c r="F8" s="675">
        <v>31614.460498043281</v>
      </c>
      <c r="G8" s="675">
        <v>33780.42613</v>
      </c>
      <c r="H8" s="675">
        <v>38111.643307172337</v>
      </c>
      <c r="I8" s="675">
        <v>27622.548806663777</v>
      </c>
      <c r="J8" s="675">
        <v>31326.985342737215</v>
      </c>
      <c r="K8" s="675">
        <v>33072.279421867548</v>
      </c>
      <c r="L8" s="675">
        <v>31650.043964159064</v>
      </c>
      <c r="M8" s="675">
        <v>38286.542540218041</v>
      </c>
      <c r="N8" s="675">
        <v>35498.663939389895</v>
      </c>
      <c r="O8" s="623">
        <f t="shared" si="0"/>
        <v>5.7448841399597293E-2</v>
      </c>
      <c r="P8" s="563"/>
      <c r="Q8" s="629"/>
      <c r="R8" s="630"/>
      <c r="S8" s="563"/>
      <c r="T8" s="620"/>
      <c r="U8" s="622"/>
      <c r="V8" s="619"/>
    </row>
    <row r="9" spans="1:22" x14ac:dyDescent="0.25">
      <c r="A9" s="604" t="s">
        <v>89</v>
      </c>
      <c r="B9" s="675">
        <f t="shared" ref="B9:H9" si="1">SUM(B4:B8)</f>
        <v>659736.50028091262</v>
      </c>
      <c r="C9" s="675">
        <f t="shared" si="1"/>
        <v>618820.47</v>
      </c>
      <c r="D9" s="675">
        <f t="shared" si="1"/>
        <v>587821.53618012602</v>
      </c>
      <c r="E9" s="675">
        <f t="shared" si="1"/>
        <v>568139.52300099994</v>
      </c>
      <c r="F9" s="675">
        <f t="shared" si="1"/>
        <v>573764.65575804329</v>
      </c>
      <c r="G9" s="675">
        <f t="shared" si="1"/>
        <v>587955.70831000002</v>
      </c>
      <c r="H9" s="675">
        <f t="shared" si="1"/>
        <v>609775.25713017234</v>
      </c>
      <c r="I9" s="675">
        <f t="shared" ref="I9:M9" si="2">SUM(I4:I8)</f>
        <v>616979.80132966372</v>
      </c>
      <c r="J9" s="675">
        <f t="shared" si="2"/>
        <v>630368.76251753222</v>
      </c>
      <c r="K9" s="675">
        <f t="shared" si="2"/>
        <v>632337.15324420587</v>
      </c>
      <c r="L9" s="675">
        <f t="shared" si="2"/>
        <v>615359.8147925029</v>
      </c>
      <c r="M9" s="675">
        <f t="shared" si="2"/>
        <v>640640.32690966362</v>
      </c>
      <c r="N9" s="675">
        <f>SUM(N4:N8)</f>
        <v>617917.83915138687</v>
      </c>
      <c r="O9" s="631"/>
      <c r="P9" s="563"/>
      <c r="Q9" s="629"/>
      <c r="R9" s="630"/>
      <c r="S9" s="563"/>
      <c r="T9" s="620"/>
      <c r="U9" s="622"/>
      <c r="V9" s="619"/>
    </row>
    <row r="10" spans="1:22" x14ac:dyDescent="0.25">
      <c r="C10" s="632">
        <f t="shared" ref="C10:M10" si="3">(C9-$B$9)/$B$9</f>
        <v>-6.2018745762119867E-2</v>
      </c>
      <c r="D10" s="632">
        <f t="shared" si="3"/>
        <v>-0.10900558642755942</v>
      </c>
      <c r="E10" s="632">
        <f t="shared" si="3"/>
        <v>-0.13883872916067419</v>
      </c>
      <c r="F10" s="632">
        <f t="shared" si="3"/>
        <v>-0.13031239667088745</v>
      </c>
      <c r="G10" s="632">
        <f t="shared" si="3"/>
        <v>-0.10880221412692595</v>
      </c>
      <c r="H10" s="632">
        <f t="shared" si="3"/>
        <v>-7.5729087490940733E-2</v>
      </c>
      <c r="I10" s="632">
        <f t="shared" si="3"/>
        <v>-6.4808751574368398E-2</v>
      </c>
      <c r="J10" s="632">
        <f t="shared" si="3"/>
        <v>-4.4514344364569428E-2</v>
      </c>
      <c r="K10" s="632">
        <f t="shared" si="3"/>
        <v>-4.1530742993665257E-2</v>
      </c>
      <c r="L10" s="632">
        <f t="shared" si="3"/>
        <v>-6.7264256971555053E-2</v>
      </c>
      <c r="M10" s="632">
        <f t="shared" si="3"/>
        <v>-2.8945152137433559E-2</v>
      </c>
      <c r="N10" s="632">
        <f>(N9-$B$9)/$B$9</f>
        <v>-6.3386914490436055E-2</v>
      </c>
      <c r="O10" s="563"/>
      <c r="P10" s="629"/>
      <c r="Q10" s="630"/>
      <c r="R10" s="563"/>
      <c r="S10" s="563"/>
      <c r="T10" s="633"/>
      <c r="U10" s="619"/>
      <c r="V10" s="619"/>
    </row>
    <row r="11" spans="1:22" x14ac:dyDescent="0.25">
      <c r="A11" s="615"/>
      <c r="B11" s="634"/>
      <c r="C11" s="635"/>
      <c r="D11" s="635"/>
      <c r="E11" s="635"/>
      <c r="F11" s="635"/>
      <c r="G11" s="635"/>
      <c r="H11" s="635"/>
      <c r="I11" s="635"/>
      <c r="J11" s="635"/>
      <c r="K11" s="635"/>
      <c r="L11" s="635"/>
      <c r="M11" s="635"/>
      <c r="N11" s="635"/>
      <c r="O11" s="636"/>
      <c r="P11" s="636"/>
      <c r="Q11" s="636"/>
      <c r="R11" s="563"/>
      <c r="S11" s="563"/>
      <c r="T11" s="563"/>
      <c r="U11" s="619"/>
      <c r="V11" s="619"/>
    </row>
    <row r="12" spans="1:22" x14ac:dyDescent="0.25">
      <c r="A12" s="637" t="s">
        <v>90</v>
      </c>
      <c r="B12" s="637"/>
      <c r="C12" s="637"/>
      <c r="D12" s="637">
        <v>1349467</v>
      </c>
      <c r="E12" s="638">
        <v>1347150</v>
      </c>
      <c r="F12" s="637">
        <v>1325385</v>
      </c>
      <c r="G12" s="637">
        <v>1317847</v>
      </c>
      <c r="H12" s="639">
        <v>1308563</v>
      </c>
      <c r="I12" s="640">
        <v>1308750</v>
      </c>
      <c r="J12" s="641">
        <v>1308728</v>
      </c>
      <c r="K12" s="641">
        <v>1319291</v>
      </c>
      <c r="L12" s="641">
        <v>1329391</v>
      </c>
      <c r="M12" s="641">
        <v>1326261</v>
      </c>
      <c r="N12" s="641">
        <v>1326315</v>
      </c>
      <c r="O12" s="563"/>
      <c r="P12" s="629"/>
      <c r="Q12" s="630"/>
      <c r="R12" s="563"/>
      <c r="S12" s="642"/>
      <c r="T12" s="563"/>
      <c r="U12" s="619"/>
      <c r="V12" s="619"/>
    </row>
    <row r="13" spans="1:22" x14ac:dyDescent="0.25">
      <c r="E13" s="643"/>
      <c r="H13" s="644"/>
      <c r="I13" s="645"/>
      <c r="J13" s="646">
        <f t="shared" ref="J13:M13" si="4">J9*1000/J12</f>
        <v>481.66522189296188</v>
      </c>
      <c r="K13" s="646">
        <f t="shared" si="4"/>
        <v>479.30074050698886</v>
      </c>
      <c r="L13" s="646">
        <f t="shared" si="4"/>
        <v>462.88850668652253</v>
      </c>
      <c r="M13" s="646">
        <f t="shared" si="4"/>
        <v>483.04242295420261</v>
      </c>
      <c r="N13" s="646">
        <f>N9*1000/N12</f>
        <v>465.89071159670732</v>
      </c>
      <c r="O13" s="563"/>
      <c r="P13" s="629"/>
      <c r="Q13" s="630"/>
      <c r="R13" s="563"/>
      <c r="S13" s="642"/>
      <c r="T13" s="647"/>
      <c r="U13" s="619"/>
      <c r="V13" s="619"/>
    </row>
    <row r="14" spans="1:22" x14ac:dyDescent="0.25">
      <c r="E14" s="634"/>
      <c r="F14" s="616"/>
      <c r="I14" s="648"/>
      <c r="J14" s="646">
        <f t="shared" ref="J14:M14" si="5">J4*1000/J12</f>
        <v>349.64102548428701</v>
      </c>
      <c r="K14" s="646">
        <f t="shared" si="5"/>
        <v>341.74754167200371</v>
      </c>
      <c r="L14" s="646">
        <f t="shared" si="5"/>
        <v>329.45162860287138</v>
      </c>
      <c r="M14" s="646">
        <f t="shared" si="5"/>
        <v>336.10996251869045</v>
      </c>
      <c r="N14" s="646">
        <f>N4*1000/N12</f>
        <v>326.00461127258541</v>
      </c>
      <c r="O14" s="563"/>
      <c r="P14" s="629"/>
      <c r="Q14" s="630"/>
      <c r="R14" s="563"/>
      <c r="S14" s="642"/>
      <c r="T14" s="633"/>
      <c r="U14" s="619"/>
      <c r="V14" s="619"/>
    </row>
    <row r="15" spans="1:22" x14ac:dyDescent="0.25">
      <c r="N15" s="649"/>
      <c r="O15" s="563"/>
      <c r="P15" s="629"/>
      <c r="Q15" s="630"/>
      <c r="R15" s="563"/>
      <c r="S15" s="642"/>
      <c r="T15" s="633"/>
      <c r="U15" s="619"/>
      <c r="V15" s="619"/>
    </row>
    <row r="16" spans="1:22" x14ac:dyDescent="0.25">
      <c r="N16" s="649"/>
      <c r="O16" s="563"/>
      <c r="P16" s="562"/>
      <c r="Q16" s="650"/>
      <c r="R16" s="563"/>
      <c r="S16" s="642"/>
      <c r="T16" s="651"/>
      <c r="U16" s="619"/>
      <c r="V16" s="619"/>
    </row>
    <row r="17" spans="10:22" x14ac:dyDescent="0.25">
      <c r="N17" s="652"/>
      <c r="O17" s="619"/>
      <c r="P17" s="563"/>
      <c r="Q17" s="563"/>
      <c r="R17" s="563"/>
      <c r="S17" s="642"/>
      <c r="T17" s="633"/>
      <c r="U17" s="619"/>
      <c r="V17" s="619"/>
    </row>
    <row r="18" spans="10:22" x14ac:dyDescent="0.25">
      <c r="Q18" s="653"/>
      <c r="R18" s="585"/>
      <c r="S18" s="654"/>
      <c r="T18" s="655"/>
      <c r="U18" s="656"/>
      <c r="V18" s="619"/>
    </row>
    <row r="19" spans="10:22" x14ac:dyDescent="0.25">
      <c r="P19" s="657"/>
      <c r="Q19" s="563"/>
      <c r="R19" s="563"/>
      <c r="S19" s="642"/>
      <c r="T19" s="658"/>
      <c r="U19" s="619"/>
      <c r="V19" s="619"/>
    </row>
    <row r="20" spans="10:22" x14ac:dyDescent="0.25">
      <c r="P20" s="657"/>
      <c r="Q20" s="563"/>
      <c r="R20" s="563"/>
      <c r="S20" s="563"/>
      <c r="T20" s="633"/>
      <c r="U20" s="619"/>
      <c r="V20" s="619"/>
    </row>
    <row r="21" spans="10:22" x14ac:dyDescent="0.25">
      <c r="P21" s="563"/>
      <c r="Q21" s="585"/>
      <c r="R21" s="585"/>
      <c r="S21" s="585"/>
      <c r="T21" s="585"/>
      <c r="U21" s="656"/>
    </row>
    <row r="22" spans="10:22" x14ac:dyDescent="0.25">
      <c r="P22" s="563"/>
      <c r="Q22" s="563"/>
      <c r="R22" s="563"/>
      <c r="S22" s="620"/>
      <c r="T22" s="659"/>
      <c r="U22" s="619"/>
    </row>
    <row r="23" spans="10:22" x14ac:dyDescent="0.25">
      <c r="J23" s="660"/>
      <c r="K23" s="660"/>
      <c r="L23" s="660"/>
      <c r="M23" s="660"/>
      <c r="N23" s="660"/>
      <c r="O23" s="661"/>
      <c r="P23" s="662"/>
      <c r="Q23" s="662"/>
      <c r="R23" s="662"/>
      <c r="S23" s="663"/>
      <c r="T23" s="633"/>
      <c r="U23" s="619"/>
    </row>
    <row r="24" spans="10:22" x14ac:dyDescent="0.25">
      <c r="J24" s="660"/>
      <c r="K24" s="660"/>
      <c r="L24" s="660"/>
      <c r="M24" s="660"/>
      <c r="N24" s="660"/>
      <c r="O24" s="661"/>
      <c r="P24" s="662"/>
      <c r="Q24" s="662"/>
      <c r="R24" s="662"/>
      <c r="S24" s="663"/>
      <c r="T24" s="664"/>
      <c r="U24" s="619"/>
    </row>
    <row r="25" spans="10:22" x14ac:dyDescent="0.25">
      <c r="J25" s="660"/>
      <c r="K25" s="660"/>
      <c r="L25" s="660"/>
      <c r="M25" s="660"/>
      <c r="N25" s="660"/>
      <c r="O25" s="661"/>
      <c r="P25" s="665"/>
      <c r="Q25" s="665"/>
      <c r="R25" s="662"/>
      <c r="S25" s="663"/>
      <c r="T25" s="666"/>
      <c r="U25" s="619"/>
    </row>
    <row r="26" spans="10:22" x14ac:dyDescent="0.25">
      <c r="P26" s="563"/>
      <c r="Q26" s="563"/>
      <c r="R26" s="563"/>
      <c r="S26" s="563"/>
      <c r="T26" s="666"/>
      <c r="U26" s="619"/>
    </row>
    <row r="27" spans="10:22" x14ac:dyDescent="0.25">
      <c r="P27" s="562"/>
      <c r="Q27" s="562"/>
      <c r="R27" s="563"/>
      <c r="S27" s="563"/>
      <c r="T27" s="563"/>
      <c r="U27" s="667"/>
    </row>
    <row r="28" spans="10:22" x14ac:dyDescent="0.25">
      <c r="P28" s="563"/>
      <c r="Q28" s="563"/>
      <c r="R28" s="563"/>
      <c r="S28" s="563"/>
      <c r="T28" s="620"/>
      <c r="U28" s="668"/>
    </row>
    <row r="29" spans="10:22" x14ac:dyDescent="0.25">
      <c r="P29" s="563"/>
      <c r="Q29" s="563"/>
      <c r="R29" s="563"/>
      <c r="S29" s="563"/>
      <c r="T29" s="563"/>
      <c r="U29" s="669"/>
    </row>
    <row r="30" spans="10:22" x14ac:dyDescent="0.25">
      <c r="P30" s="563"/>
      <c r="Q30" s="563"/>
      <c r="R30" s="563"/>
      <c r="S30" s="563"/>
      <c r="T30" s="563"/>
      <c r="U30" s="669"/>
    </row>
    <row r="31" spans="10:22" x14ac:dyDescent="0.25">
      <c r="P31" s="562"/>
      <c r="Q31" s="562"/>
      <c r="R31" s="563"/>
      <c r="S31" s="563"/>
      <c r="T31" s="563"/>
      <c r="U31" s="669"/>
    </row>
    <row r="32" spans="10:22" x14ac:dyDescent="0.25">
      <c r="P32" s="563"/>
      <c r="Q32" s="563"/>
      <c r="R32" s="563"/>
      <c r="S32" s="563"/>
      <c r="T32" s="563"/>
      <c r="U32" s="619"/>
    </row>
    <row r="33" spans="1:26" x14ac:dyDescent="0.25">
      <c r="P33" s="563"/>
      <c r="Q33" s="563"/>
      <c r="R33" s="563"/>
      <c r="S33" s="563"/>
      <c r="T33" s="563"/>
      <c r="U33" s="619"/>
    </row>
    <row r="34" spans="1:26" x14ac:dyDescent="0.25">
      <c r="P34" s="563"/>
      <c r="Q34" s="563"/>
      <c r="R34" s="563"/>
      <c r="S34" s="563"/>
      <c r="T34" s="563"/>
      <c r="U34" s="619"/>
    </row>
    <row r="35" spans="1:26" x14ac:dyDescent="0.25">
      <c r="P35" s="670"/>
      <c r="Q35" s="670"/>
      <c r="R35" s="670"/>
      <c r="S35" s="670"/>
      <c r="T35" s="670"/>
      <c r="U35" s="670"/>
      <c r="V35" s="670"/>
      <c r="W35" s="670"/>
      <c r="X35" s="670"/>
      <c r="Y35" s="670"/>
      <c r="Z35" s="670"/>
    </row>
    <row r="36" spans="1:26" ht="30" customHeight="1" x14ac:dyDescent="0.25">
      <c r="P36" s="671"/>
      <c r="Q36" s="671"/>
      <c r="R36" s="671"/>
      <c r="S36" s="671"/>
      <c r="T36" s="671"/>
      <c r="U36" s="671"/>
      <c r="V36" s="671"/>
      <c r="W36" s="671"/>
      <c r="X36" s="672"/>
      <c r="Y36" s="671"/>
      <c r="Z36" s="671"/>
    </row>
    <row r="37" spans="1:26" x14ac:dyDescent="0.25">
      <c r="P37" s="563"/>
      <c r="Q37" s="563"/>
      <c r="R37" s="563"/>
      <c r="S37" s="563"/>
      <c r="T37" s="563"/>
      <c r="U37" s="619"/>
    </row>
    <row r="38" spans="1:26" x14ac:dyDescent="0.25">
      <c r="N38" s="673">
        <f>C10*(-1)</f>
        <v>6.2018745762119867E-2</v>
      </c>
      <c r="O38" s="670">
        <f>D10*(-1)</f>
        <v>0.10900558642755942</v>
      </c>
      <c r="P38" s="670">
        <f t="shared" ref="P38:Q38" si="6">E10*(-1)</f>
        <v>0.13883872916067419</v>
      </c>
      <c r="Q38" s="670">
        <f t="shared" si="6"/>
        <v>0.13031239667088745</v>
      </c>
      <c r="R38" s="670">
        <f t="shared" ref="R38" si="7">G10*(-1)</f>
        <v>0.10880221412692595</v>
      </c>
      <c r="S38" s="670">
        <f t="shared" ref="S38" si="8">H10*(-1)</f>
        <v>7.5729087490940733E-2</v>
      </c>
      <c r="T38" s="670">
        <f t="shared" ref="T38" si="9">I10*(-1)</f>
        <v>6.4808751574368398E-2</v>
      </c>
      <c r="U38" s="670">
        <f t="shared" ref="U38" si="10">J10*(-1)</f>
        <v>4.4514344364569428E-2</v>
      </c>
      <c r="V38" s="670">
        <f t="shared" ref="V38" si="11">K10*(-1)</f>
        <v>4.1530742993665257E-2</v>
      </c>
      <c r="W38" s="670">
        <f t="shared" ref="W38" si="12">L10*(-1)</f>
        <v>6.7264256971555053E-2</v>
      </c>
      <c r="X38" s="670">
        <f>M10*(-1)</f>
        <v>2.8945152137433559E-2</v>
      </c>
      <c r="Y38" s="670">
        <f>N10*(-1)</f>
        <v>6.3386914490436055E-2</v>
      </c>
    </row>
    <row r="39" spans="1:26" x14ac:dyDescent="0.25">
      <c r="N39" s="635">
        <v>0.1</v>
      </c>
      <c r="O39" s="671">
        <v>0.1</v>
      </c>
      <c r="P39" s="671">
        <v>0.1</v>
      </c>
      <c r="Q39" s="671">
        <v>0.1</v>
      </c>
      <c r="R39" s="671">
        <v>0.1</v>
      </c>
      <c r="S39" s="671">
        <v>0.1</v>
      </c>
      <c r="T39" s="671">
        <v>0.1</v>
      </c>
      <c r="U39" s="671">
        <v>0.1</v>
      </c>
      <c r="V39" s="672">
        <v>0.1</v>
      </c>
      <c r="W39" s="671">
        <v>0.1</v>
      </c>
      <c r="X39" s="671">
        <v>0.1</v>
      </c>
      <c r="Y39" s="671">
        <v>0.1</v>
      </c>
    </row>
    <row r="45" spans="1:26" x14ac:dyDescent="0.25">
      <c r="A45" s="588"/>
      <c r="B45" s="674"/>
    </row>
  </sheetData>
  <sheetProtection selectLockedCells="1" selectUnlockedCells="1"/>
  <mergeCells count="1">
    <mergeCell ref="T3:U3"/>
  </mergeCells>
  <phoneticPr fontId="33" type="noConversion"/>
  <hyperlinks>
    <hyperlink ref="E1" location="Índice!A1" display="ir a índice" xr:uid="{C4672320-8C1D-44AC-B06F-6610EF73BA6D}"/>
  </hyperlinks>
  <pageMargins left="0.74803149606299213" right="0.74803149606299213" top="0.98425196850393704" bottom="0.98425196850393704" header="0.51181102362204722" footer="0.51181102362204722"/>
  <pageSetup paperSize="9" scale="51" firstPageNumber="0" orientation="landscape" horizontalDpi="300" verticalDpi="300"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BF8B2E"/>
  </sheetPr>
  <dimension ref="A1:X38"/>
  <sheetViews>
    <sheetView zoomScaleSheetLayoutView="100" workbookViewId="0">
      <selection activeCell="M1" sqref="M1"/>
    </sheetView>
  </sheetViews>
  <sheetFormatPr baseColWidth="10" defaultColWidth="9.140625" defaultRowHeight="14.25" x14ac:dyDescent="0.25"/>
  <cols>
    <col min="1" max="1" width="13.85546875" style="678" customWidth="1"/>
    <col min="2" max="2" width="22" style="678" customWidth="1"/>
    <col min="3" max="3" width="23.140625" style="678" customWidth="1"/>
    <col min="4" max="4" width="20" style="678" customWidth="1"/>
    <col min="5" max="5" width="12.85546875" style="678" customWidth="1"/>
    <col min="6" max="6" width="16.5703125" style="678" customWidth="1"/>
    <col min="7" max="7" width="18.42578125" style="678" customWidth="1"/>
    <col min="8" max="8" width="13.5703125" style="678" customWidth="1"/>
    <col min="9" max="9" width="12.28515625" style="678" customWidth="1"/>
    <col min="10" max="11" width="9.140625" style="612" customWidth="1"/>
    <col min="12" max="12" width="9.140625" style="619" customWidth="1"/>
    <col min="13" max="13" width="17" style="619" customWidth="1"/>
    <col min="14" max="22" width="9.140625" style="619"/>
    <col min="23" max="23" width="9.140625" style="612"/>
    <col min="24" max="24" width="9.140625" style="681"/>
    <col min="25" max="16384" width="9.140625" style="612"/>
  </cols>
  <sheetData>
    <row r="1" spans="1:24" x14ac:dyDescent="0.25">
      <c r="A1" s="555" t="s">
        <v>1069</v>
      </c>
      <c r="B1" s="612"/>
      <c r="C1" s="612"/>
      <c r="D1" s="612"/>
      <c r="E1" s="942" t="s">
        <v>1230</v>
      </c>
      <c r="F1" s="612"/>
      <c r="G1" s="612"/>
      <c r="H1" s="612"/>
      <c r="I1" s="612"/>
      <c r="W1" s="676"/>
      <c r="X1" s="677"/>
    </row>
    <row r="2" spans="1:24" x14ac:dyDescent="0.25">
      <c r="A2" s="555" t="s">
        <v>91</v>
      </c>
      <c r="D2" s="679"/>
      <c r="E2" s="679"/>
      <c r="F2" s="679"/>
      <c r="G2" s="679"/>
      <c r="H2" s="679"/>
      <c r="I2" s="679"/>
      <c r="L2" s="563"/>
      <c r="M2" s="680"/>
      <c r="N2" s="680"/>
      <c r="O2" s="563"/>
      <c r="P2" s="563"/>
      <c r="Q2" s="563"/>
      <c r="R2" s="563"/>
      <c r="S2" s="563"/>
      <c r="T2" s="563"/>
      <c r="U2" s="563"/>
      <c r="V2" s="563"/>
    </row>
    <row r="3" spans="1:24" ht="71.25" x14ac:dyDescent="0.25">
      <c r="A3" s="698" t="s">
        <v>92</v>
      </c>
      <c r="B3" s="698" t="s">
        <v>93</v>
      </c>
      <c r="C3" s="698" t="s">
        <v>94</v>
      </c>
      <c r="D3" s="698" t="s">
        <v>1063</v>
      </c>
      <c r="E3" s="698" t="s">
        <v>1064</v>
      </c>
      <c r="F3" s="698" t="s">
        <v>1065</v>
      </c>
      <c r="G3" s="698" t="s">
        <v>1066</v>
      </c>
      <c r="H3" s="698" t="s">
        <v>1067</v>
      </c>
      <c r="I3" s="698" t="s">
        <v>1068</v>
      </c>
      <c r="L3" s="563"/>
      <c r="M3" s="682"/>
      <c r="N3" s="683"/>
      <c r="O3" s="683"/>
      <c r="P3" s="563"/>
      <c r="Q3" s="563"/>
      <c r="R3" s="563"/>
      <c r="S3" s="563"/>
      <c r="T3" s="563"/>
      <c r="U3" s="563"/>
      <c r="V3" s="563"/>
    </row>
    <row r="4" spans="1:24" ht="12.75" customHeight="1" x14ac:dyDescent="0.25">
      <c r="A4" s="604" t="s">
        <v>95</v>
      </c>
      <c r="B4" s="604" t="s">
        <v>96</v>
      </c>
      <c r="C4" s="558">
        <v>18460</v>
      </c>
      <c r="D4" s="556">
        <v>8436.9450477733517</v>
      </c>
      <c r="E4" s="274">
        <v>457.03927669411399</v>
      </c>
      <c r="F4" s="556">
        <v>350.34</v>
      </c>
      <c r="G4" s="556">
        <f>F4*1000/C4</f>
        <v>18.978331527627301</v>
      </c>
      <c r="H4" s="556">
        <v>143.2721572794899</v>
      </c>
      <c r="I4" s="556">
        <f>H4*1000/C4</f>
        <v>7.7612219544685761</v>
      </c>
      <c r="L4" s="563"/>
      <c r="M4" s="684"/>
      <c r="N4" s="685"/>
      <c r="O4" s="686"/>
      <c r="P4" s="563"/>
      <c r="Q4" s="563"/>
      <c r="R4" s="563"/>
      <c r="S4" s="563"/>
      <c r="T4" s="563"/>
      <c r="U4" s="563"/>
      <c r="V4" s="563"/>
    </row>
    <row r="5" spans="1:24" x14ac:dyDescent="0.25">
      <c r="A5" s="604"/>
      <c r="B5" s="604" t="s">
        <v>97</v>
      </c>
      <c r="C5" s="558">
        <v>13929</v>
      </c>
      <c r="D5" s="556">
        <v>5931.1549522266469</v>
      </c>
      <c r="E5" s="274">
        <v>425.81340743963301</v>
      </c>
      <c r="F5" s="556">
        <v>234.04</v>
      </c>
      <c r="G5" s="556">
        <f t="shared" ref="G5:G36" si="0">F5*1000/C5</f>
        <v>16.802354799339508</v>
      </c>
      <c r="H5" s="556">
        <v>10.367842720510094</v>
      </c>
      <c r="I5" s="556">
        <f t="shared" ref="I5:I36" si="1">H5*1000/C5</f>
        <v>0.74433503629191577</v>
      </c>
      <c r="L5" s="563"/>
      <c r="M5" s="684"/>
      <c r="N5" s="685"/>
      <c r="O5" s="686"/>
      <c r="P5" s="563"/>
      <c r="Q5" s="563"/>
      <c r="R5" s="563"/>
      <c r="S5" s="563"/>
      <c r="T5" s="563"/>
      <c r="U5" s="563"/>
      <c r="V5" s="563"/>
    </row>
    <row r="6" spans="1:24" x14ac:dyDescent="0.25">
      <c r="A6" s="604"/>
      <c r="B6" s="604" t="s">
        <v>98</v>
      </c>
      <c r="C6" s="558">
        <v>68882</v>
      </c>
      <c r="D6" s="556">
        <v>20789.240000000002</v>
      </c>
      <c r="E6" s="274">
        <v>301.80947126970761</v>
      </c>
      <c r="F6" s="556">
        <v>1431.8100000000002</v>
      </c>
      <c r="G6" s="556">
        <f t="shared" si="0"/>
        <v>20.786417351412563</v>
      </c>
      <c r="H6" s="556">
        <v>844.3</v>
      </c>
      <c r="I6" s="556">
        <f t="shared" si="1"/>
        <v>12.257193461281613</v>
      </c>
      <c r="L6" s="563"/>
      <c r="M6" s="684"/>
      <c r="N6" s="685"/>
      <c r="O6" s="687"/>
      <c r="P6" s="688"/>
      <c r="Q6" s="563"/>
      <c r="R6" s="563"/>
      <c r="S6" s="563"/>
      <c r="T6" s="563"/>
      <c r="U6" s="563"/>
      <c r="V6" s="563"/>
    </row>
    <row r="7" spans="1:24" x14ac:dyDescent="0.25">
      <c r="A7" s="604" t="s">
        <v>99</v>
      </c>
      <c r="B7" s="604" t="s">
        <v>100</v>
      </c>
      <c r="C7" s="558">
        <v>7755</v>
      </c>
      <c r="D7" s="556">
        <v>4170</v>
      </c>
      <c r="E7" s="699">
        <v>537.71760154738877</v>
      </c>
      <c r="F7" s="556">
        <v>0</v>
      </c>
      <c r="G7" s="556">
        <f t="shared" si="0"/>
        <v>0</v>
      </c>
      <c r="H7" s="556">
        <v>0</v>
      </c>
      <c r="I7" s="556">
        <f t="shared" si="1"/>
        <v>0</v>
      </c>
      <c r="L7" s="563"/>
      <c r="M7" s="684"/>
      <c r="N7" s="685"/>
      <c r="O7" s="687"/>
      <c r="P7" s="688"/>
      <c r="Q7" s="563"/>
      <c r="R7" s="563"/>
      <c r="S7" s="563"/>
      <c r="T7" s="563"/>
      <c r="U7" s="688"/>
      <c r="V7" s="563"/>
    </row>
    <row r="8" spans="1:24" x14ac:dyDescent="0.25">
      <c r="A8" s="604"/>
      <c r="B8" s="604" t="s">
        <v>101</v>
      </c>
      <c r="C8" s="558">
        <v>12594</v>
      </c>
      <c r="D8" s="556">
        <v>4939</v>
      </c>
      <c r="E8" s="700">
        <v>392.17087501985071</v>
      </c>
      <c r="F8" s="556">
        <v>0</v>
      </c>
      <c r="G8" s="556">
        <f t="shared" si="0"/>
        <v>0</v>
      </c>
      <c r="H8" s="556">
        <v>0</v>
      </c>
      <c r="I8" s="556">
        <f t="shared" si="1"/>
        <v>0</v>
      </c>
      <c r="L8" s="563"/>
      <c r="M8" s="684"/>
      <c r="N8" s="685"/>
      <c r="O8" s="686"/>
      <c r="P8" s="563"/>
      <c r="Q8" s="563"/>
      <c r="R8" s="563"/>
      <c r="S8" s="563"/>
      <c r="T8" s="563"/>
      <c r="U8" s="563"/>
      <c r="V8" s="563"/>
    </row>
    <row r="9" spans="1:24" ht="28.5" x14ac:dyDescent="0.25">
      <c r="A9" s="604"/>
      <c r="B9" s="604" t="s">
        <v>102</v>
      </c>
      <c r="C9" s="558">
        <v>24127</v>
      </c>
      <c r="D9" s="556">
        <v>8556</v>
      </c>
      <c r="E9" s="700">
        <v>354.6234509056244</v>
      </c>
      <c r="F9" s="556">
        <v>0</v>
      </c>
      <c r="G9" s="556">
        <f t="shared" si="0"/>
        <v>0</v>
      </c>
      <c r="H9" s="556">
        <v>0</v>
      </c>
      <c r="I9" s="556">
        <f t="shared" si="1"/>
        <v>0</v>
      </c>
      <c r="L9" s="563"/>
      <c r="M9" s="684"/>
      <c r="N9" s="685"/>
      <c r="O9" s="686"/>
      <c r="P9" s="563"/>
      <c r="Q9" s="563"/>
      <c r="R9" s="563"/>
      <c r="S9" s="563"/>
      <c r="T9" s="563"/>
      <c r="U9" s="680"/>
      <c r="V9" s="563"/>
    </row>
    <row r="10" spans="1:24" x14ac:dyDescent="0.25">
      <c r="A10" s="604"/>
      <c r="B10" s="604" t="s">
        <v>103</v>
      </c>
      <c r="C10" s="558">
        <v>24363</v>
      </c>
      <c r="D10" s="556">
        <v>6648</v>
      </c>
      <c r="E10" s="700">
        <v>272.87279891638963</v>
      </c>
      <c r="F10" s="556">
        <v>0</v>
      </c>
      <c r="G10" s="556">
        <f t="shared" si="0"/>
        <v>0</v>
      </c>
      <c r="H10" s="556">
        <v>81.94</v>
      </c>
      <c r="I10" s="556">
        <f t="shared" si="1"/>
        <v>3.3632968025284242</v>
      </c>
      <c r="L10" s="563"/>
      <c r="M10" s="684"/>
      <c r="N10" s="685"/>
      <c r="O10" s="689"/>
      <c r="P10" s="680"/>
      <c r="Q10" s="680"/>
      <c r="R10" s="680"/>
      <c r="S10" s="563"/>
      <c r="T10" s="563"/>
      <c r="U10" s="563"/>
      <c r="V10" s="563"/>
    </row>
    <row r="11" spans="1:24" x14ac:dyDescent="0.25">
      <c r="A11" s="604"/>
      <c r="B11" s="604" t="s">
        <v>104</v>
      </c>
      <c r="C11" s="558">
        <v>18790</v>
      </c>
      <c r="D11" s="556">
        <v>6045</v>
      </c>
      <c r="E11" s="700">
        <v>321.71367748802555</v>
      </c>
      <c r="F11" s="556">
        <v>6.4</v>
      </c>
      <c r="G11" s="556">
        <f t="shared" si="0"/>
        <v>0.34060670569451834</v>
      </c>
      <c r="H11" s="556">
        <v>0</v>
      </c>
      <c r="I11" s="556">
        <f t="shared" si="1"/>
        <v>0</v>
      </c>
      <c r="L11" s="563"/>
      <c r="M11" s="684"/>
      <c r="N11" s="685"/>
      <c r="O11" s="689"/>
      <c r="P11" s="680"/>
      <c r="Q11" s="680"/>
      <c r="R11" s="680"/>
      <c r="S11" s="563"/>
      <c r="T11" s="563"/>
      <c r="U11" s="563"/>
      <c r="V11" s="563"/>
    </row>
    <row r="12" spans="1:24" x14ac:dyDescent="0.25">
      <c r="A12" s="604" t="s">
        <v>105</v>
      </c>
      <c r="B12" s="604" t="s">
        <v>106</v>
      </c>
      <c r="C12" s="558">
        <v>24958</v>
      </c>
      <c r="D12" s="556">
        <v>6981.8450000000003</v>
      </c>
      <c r="E12" s="700">
        <v>279.74376953281512</v>
      </c>
      <c r="F12" s="556">
        <v>0</v>
      </c>
      <c r="G12" s="556">
        <f t="shared" si="0"/>
        <v>0</v>
      </c>
      <c r="H12" s="556">
        <v>0</v>
      </c>
      <c r="I12" s="556">
        <f t="shared" si="1"/>
        <v>0</v>
      </c>
      <c r="L12" s="563"/>
      <c r="M12" s="684"/>
      <c r="N12" s="685"/>
      <c r="O12" s="689"/>
      <c r="P12" s="680"/>
      <c r="Q12" s="680"/>
      <c r="R12" s="680"/>
      <c r="S12" s="563"/>
      <c r="T12" s="563"/>
      <c r="U12" s="563"/>
      <c r="V12" s="563"/>
    </row>
    <row r="13" spans="1:24" x14ac:dyDescent="0.25">
      <c r="A13" s="604"/>
      <c r="B13" s="604" t="s">
        <v>107</v>
      </c>
      <c r="C13" s="558">
        <v>18573</v>
      </c>
      <c r="D13" s="556">
        <v>5751.0599999999995</v>
      </c>
      <c r="E13" s="700">
        <v>309.64626070101758</v>
      </c>
      <c r="F13" s="556">
        <v>0</v>
      </c>
      <c r="G13" s="556">
        <f t="shared" si="0"/>
        <v>0</v>
      </c>
      <c r="H13" s="556">
        <v>0</v>
      </c>
      <c r="I13" s="556">
        <f t="shared" si="1"/>
        <v>0</v>
      </c>
      <c r="L13" s="563"/>
      <c r="M13" s="684"/>
      <c r="N13" s="685"/>
      <c r="O13" s="689"/>
      <c r="P13" s="680"/>
      <c r="Q13" s="680"/>
      <c r="R13" s="680"/>
      <c r="S13" s="563"/>
      <c r="T13" s="563"/>
      <c r="U13" s="563"/>
      <c r="V13" s="563"/>
    </row>
    <row r="14" spans="1:24" x14ac:dyDescent="0.25">
      <c r="A14" s="604" t="s">
        <v>108</v>
      </c>
      <c r="B14" s="604" t="s">
        <v>109</v>
      </c>
      <c r="C14" s="558">
        <v>30815</v>
      </c>
      <c r="D14" s="556">
        <v>11043.741</v>
      </c>
      <c r="E14" s="700">
        <v>358.38847963654064</v>
      </c>
      <c r="F14" s="556">
        <v>1943.7840000000001</v>
      </c>
      <c r="G14" s="556">
        <f t="shared" si="0"/>
        <v>63.079149764724974</v>
      </c>
      <c r="H14" s="556">
        <v>0</v>
      </c>
      <c r="I14" s="556">
        <f t="shared" si="1"/>
        <v>0</v>
      </c>
      <c r="L14" s="563"/>
      <c r="M14" s="684"/>
      <c r="N14" s="685"/>
      <c r="O14" s="686"/>
      <c r="P14" s="563"/>
      <c r="Q14" s="563"/>
      <c r="R14" s="563"/>
      <c r="S14" s="563"/>
      <c r="T14" s="563"/>
      <c r="U14" s="563"/>
      <c r="V14" s="563"/>
    </row>
    <row r="15" spans="1:24" x14ac:dyDescent="0.25">
      <c r="A15" s="604"/>
      <c r="B15" s="604" t="s">
        <v>110</v>
      </c>
      <c r="C15" s="558">
        <v>13889</v>
      </c>
      <c r="D15" s="556">
        <v>5207.868586268969</v>
      </c>
      <c r="E15" s="700">
        <v>374.96353850305775</v>
      </c>
      <c r="F15" s="556">
        <v>277.85685170840173</v>
      </c>
      <c r="G15" s="556">
        <f t="shared" si="0"/>
        <v>20.005533278738696</v>
      </c>
      <c r="H15" s="556">
        <v>0</v>
      </c>
      <c r="I15" s="556">
        <f t="shared" si="1"/>
        <v>0</v>
      </c>
      <c r="K15" s="661"/>
      <c r="L15" s="662"/>
      <c r="M15" s="690"/>
      <c r="N15" s="691"/>
      <c r="O15" s="692"/>
      <c r="P15" s="693"/>
      <c r="Q15" s="693"/>
      <c r="R15" s="693"/>
      <c r="S15" s="662"/>
      <c r="T15" s="563"/>
      <c r="U15" s="563"/>
      <c r="V15" s="563"/>
    </row>
    <row r="16" spans="1:24" x14ac:dyDescent="0.25">
      <c r="A16" s="604"/>
      <c r="B16" s="604" t="s">
        <v>111</v>
      </c>
      <c r="C16" s="558">
        <v>13706</v>
      </c>
      <c r="D16" s="556">
        <v>4554.4814137310304</v>
      </c>
      <c r="E16" s="700">
        <v>332.29836668109078</v>
      </c>
      <c r="F16" s="556">
        <v>162.98314829159827</v>
      </c>
      <c r="G16" s="556">
        <f t="shared" si="0"/>
        <v>11.891372267007025</v>
      </c>
      <c r="H16" s="556">
        <v>0</v>
      </c>
      <c r="I16" s="556">
        <f t="shared" si="1"/>
        <v>0</v>
      </c>
      <c r="K16" s="661"/>
      <c r="L16" s="662"/>
      <c r="M16" s="690"/>
      <c r="N16" s="691"/>
      <c r="O16" s="692"/>
      <c r="P16" s="693"/>
      <c r="Q16" s="693"/>
      <c r="R16" s="693"/>
      <c r="S16" s="662"/>
      <c r="T16" s="563"/>
      <c r="U16" s="563"/>
      <c r="V16" s="563"/>
    </row>
    <row r="17" spans="1:22" x14ac:dyDescent="0.25">
      <c r="A17" s="604"/>
      <c r="B17" s="604" t="s">
        <v>112</v>
      </c>
      <c r="C17" s="558">
        <v>27635</v>
      </c>
      <c r="D17" s="556">
        <v>9783.2000000000007</v>
      </c>
      <c r="E17" s="700">
        <v>354.01483625836801</v>
      </c>
      <c r="F17" s="556">
        <v>127.77</v>
      </c>
      <c r="G17" s="556">
        <f t="shared" si="0"/>
        <v>4.6234847114166815</v>
      </c>
      <c r="H17" s="556">
        <v>0</v>
      </c>
      <c r="I17" s="556">
        <f t="shared" si="1"/>
        <v>0</v>
      </c>
      <c r="K17" s="661"/>
      <c r="L17" s="662"/>
      <c r="M17" s="690"/>
      <c r="N17" s="691"/>
      <c r="O17" s="694"/>
      <c r="P17" s="662"/>
      <c r="Q17" s="662"/>
      <c r="R17" s="662"/>
      <c r="S17" s="662"/>
      <c r="T17" s="563"/>
      <c r="U17" s="563"/>
      <c r="V17" s="563"/>
    </row>
    <row r="18" spans="1:22" x14ac:dyDescent="0.25">
      <c r="A18" s="604" t="s">
        <v>113</v>
      </c>
      <c r="B18" s="604" t="s">
        <v>114</v>
      </c>
      <c r="C18" s="558">
        <v>6226</v>
      </c>
      <c r="D18" s="556">
        <v>3783.7999999999993</v>
      </c>
      <c r="E18" s="700">
        <v>607.74172823642778</v>
      </c>
      <c r="F18" s="556">
        <v>7.5</v>
      </c>
      <c r="G18" s="556">
        <f t="shared" si="0"/>
        <v>1.20462576292965</v>
      </c>
      <c r="H18" s="556">
        <v>0</v>
      </c>
      <c r="I18" s="556">
        <f t="shared" si="1"/>
        <v>0</v>
      </c>
      <c r="K18" s="661"/>
      <c r="L18" s="662"/>
      <c r="M18" s="690"/>
      <c r="N18" s="691"/>
      <c r="O18" s="695"/>
      <c r="P18" s="696"/>
      <c r="Q18" s="662"/>
      <c r="R18" s="662"/>
      <c r="S18" s="662"/>
      <c r="T18" s="563"/>
      <c r="U18" s="563"/>
      <c r="V18" s="563"/>
    </row>
    <row r="19" spans="1:22" x14ac:dyDescent="0.25">
      <c r="A19" s="604"/>
      <c r="B19" s="604" t="s">
        <v>115</v>
      </c>
      <c r="C19" s="558">
        <v>29861</v>
      </c>
      <c r="D19" s="556">
        <v>11883.980000000009</v>
      </c>
      <c r="E19" s="700">
        <v>397.97662502930274</v>
      </c>
      <c r="F19" s="556">
        <v>74.099999999999994</v>
      </c>
      <c r="G19" s="556">
        <f t="shared" si="0"/>
        <v>2.481497605572486</v>
      </c>
      <c r="H19" s="556">
        <v>0</v>
      </c>
      <c r="I19" s="556">
        <f t="shared" si="1"/>
        <v>0</v>
      </c>
      <c r="K19" s="661"/>
      <c r="L19" s="662"/>
      <c r="M19" s="690"/>
      <c r="N19" s="691"/>
      <c r="O19" s="694"/>
      <c r="P19" s="662"/>
      <c r="Q19" s="662"/>
      <c r="R19" s="662"/>
      <c r="S19" s="662"/>
      <c r="T19" s="563"/>
      <c r="U19" s="563"/>
      <c r="V19" s="563"/>
    </row>
    <row r="20" spans="1:22" ht="28.5" x14ac:dyDescent="0.25">
      <c r="A20" s="604"/>
      <c r="B20" s="604" t="s">
        <v>116</v>
      </c>
      <c r="C20" s="558">
        <v>36133</v>
      </c>
      <c r="D20" s="556">
        <v>12654.090000000002</v>
      </c>
      <c r="E20" s="700">
        <v>350.20867351174832</v>
      </c>
      <c r="F20" s="556">
        <v>197.16000000000008</v>
      </c>
      <c r="G20" s="556">
        <f t="shared" si="0"/>
        <v>5.4565079013644064</v>
      </c>
      <c r="H20" s="556">
        <v>0</v>
      </c>
      <c r="I20" s="556">
        <f t="shared" si="1"/>
        <v>0</v>
      </c>
      <c r="K20" s="661"/>
      <c r="L20" s="662"/>
      <c r="M20" s="690"/>
      <c r="N20" s="691"/>
      <c r="O20" s="694"/>
      <c r="P20" s="662"/>
      <c r="Q20" s="662"/>
      <c r="R20" s="662"/>
      <c r="S20" s="662"/>
      <c r="T20" s="563"/>
      <c r="U20" s="563"/>
      <c r="V20" s="563"/>
    </row>
    <row r="21" spans="1:22" x14ac:dyDescent="0.25">
      <c r="A21" s="604"/>
      <c r="B21" s="604" t="s">
        <v>117</v>
      </c>
      <c r="C21" s="558">
        <v>10046</v>
      </c>
      <c r="D21" s="556">
        <v>3799.9700000000003</v>
      </c>
      <c r="E21" s="700">
        <v>378.25701771849498</v>
      </c>
      <c r="F21" s="556">
        <v>0</v>
      </c>
      <c r="G21" s="556">
        <f t="shared" si="0"/>
        <v>0</v>
      </c>
      <c r="H21" s="556">
        <v>0</v>
      </c>
      <c r="I21" s="556">
        <f t="shared" si="1"/>
        <v>0</v>
      </c>
      <c r="L21" s="563"/>
      <c r="M21" s="684"/>
      <c r="N21" s="685"/>
      <c r="O21" s="686"/>
      <c r="P21" s="563"/>
      <c r="Q21" s="563"/>
      <c r="R21" s="563"/>
      <c r="S21" s="563"/>
      <c r="T21" s="563"/>
      <c r="U21" s="563"/>
      <c r="V21" s="563"/>
    </row>
    <row r="22" spans="1:22" x14ac:dyDescent="0.25">
      <c r="A22" s="604"/>
      <c r="B22" s="604" t="s">
        <v>118</v>
      </c>
      <c r="C22" s="558">
        <v>5451</v>
      </c>
      <c r="D22" s="556">
        <v>2438.1999999999998</v>
      </c>
      <c r="E22" s="700">
        <v>447.29407448174646</v>
      </c>
      <c r="F22" s="556">
        <v>9.98</v>
      </c>
      <c r="G22" s="556">
        <f t="shared" si="0"/>
        <v>1.8308567235369657</v>
      </c>
      <c r="H22" s="556">
        <v>0</v>
      </c>
      <c r="I22" s="556">
        <f t="shared" si="1"/>
        <v>0</v>
      </c>
      <c r="L22" s="563"/>
      <c r="M22" s="684"/>
      <c r="N22" s="685"/>
      <c r="O22" s="686"/>
      <c r="P22" s="563"/>
      <c r="Q22" s="563"/>
      <c r="R22" s="563"/>
      <c r="S22" s="563"/>
      <c r="T22" s="563"/>
      <c r="U22" s="563"/>
      <c r="V22" s="563"/>
    </row>
    <row r="23" spans="1:22" x14ac:dyDescent="0.25">
      <c r="A23" s="604" t="s">
        <v>119</v>
      </c>
      <c r="B23" s="604" t="s">
        <v>120</v>
      </c>
      <c r="C23" s="558">
        <v>757295</v>
      </c>
      <c r="D23" s="556">
        <v>232232.31999999913</v>
      </c>
      <c r="E23" s="700">
        <v>306.66031071114838</v>
      </c>
      <c r="F23" s="556">
        <v>63610.62</v>
      </c>
      <c r="G23" s="556">
        <f t="shared" si="0"/>
        <v>83.997147742953544</v>
      </c>
      <c r="H23" s="556">
        <v>4996.5200000000004</v>
      </c>
      <c r="I23" s="556">
        <f t="shared" si="1"/>
        <v>6.5978515637895407</v>
      </c>
      <c r="L23" s="563"/>
      <c r="M23" s="684"/>
      <c r="N23" s="685"/>
      <c r="O23" s="686"/>
      <c r="P23" s="563"/>
      <c r="Q23" s="563"/>
      <c r="R23" s="563"/>
      <c r="S23" s="563"/>
      <c r="T23" s="563"/>
      <c r="U23" s="563"/>
      <c r="V23" s="563"/>
    </row>
    <row r="24" spans="1:22" x14ac:dyDescent="0.25">
      <c r="A24" s="604"/>
      <c r="B24" s="604" t="s">
        <v>121</v>
      </c>
      <c r="C24" s="558">
        <v>8517</v>
      </c>
      <c r="D24" s="556">
        <v>2726.4999999999995</v>
      </c>
      <c r="E24" s="700">
        <v>320.12445696841604</v>
      </c>
      <c r="F24" s="556">
        <v>63.88</v>
      </c>
      <c r="G24" s="556">
        <f t="shared" si="0"/>
        <v>7.5002935305858873</v>
      </c>
      <c r="H24" s="556">
        <v>0</v>
      </c>
      <c r="I24" s="556">
        <f t="shared" si="1"/>
        <v>0</v>
      </c>
      <c r="L24" s="563"/>
      <c r="M24" s="684"/>
      <c r="N24" s="685"/>
      <c r="O24" s="689"/>
      <c r="P24" s="680"/>
      <c r="Q24" s="680"/>
      <c r="R24" s="680"/>
      <c r="S24" s="563"/>
      <c r="T24" s="563"/>
      <c r="U24" s="563"/>
      <c r="V24" s="563"/>
    </row>
    <row r="25" spans="1:22" x14ac:dyDescent="0.25">
      <c r="A25" s="604"/>
      <c r="B25" s="604" t="s">
        <v>122</v>
      </c>
      <c r="C25" s="558">
        <v>4561</v>
      </c>
      <c r="D25" s="556">
        <v>1799.0199999999988</v>
      </c>
      <c r="E25" s="700">
        <v>394.43543082657288</v>
      </c>
      <c r="F25" s="556">
        <v>0</v>
      </c>
      <c r="G25" s="556">
        <f t="shared" si="0"/>
        <v>0</v>
      </c>
      <c r="H25" s="556">
        <v>0</v>
      </c>
      <c r="I25" s="556">
        <f t="shared" si="1"/>
        <v>0</v>
      </c>
      <c r="L25" s="563"/>
      <c r="M25" s="684"/>
      <c r="N25" s="685"/>
      <c r="O25" s="686"/>
      <c r="P25" s="563"/>
      <c r="Q25" s="563"/>
      <c r="R25" s="563"/>
      <c r="S25" s="563"/>
      <c r="T25" s="563"/>
      <c r="U25" s="563"/>
      <c r="V25" s="563"/>
    </row>
    <row r="26" spans="1:22" x14ac:dyDescent="0.25">
      <c r="A26" s="604" t="s">
        <v>123</v>
      </c>
      <c r="B26" s="604" t="s">
        <v>124</v>
      </c>
      <c r="C26" s="558">
        <v>15328</v>
      </c>
      <c r="D26" s="556">
        <v>4724.38</v>
      </c>
      <c r="E26" s="700">
        <v>308.21894572025053</v>
      </c>
      <c r="F26" s="556">
        <v>0</v>
      </c>
      <c r="G26" s="556">
        <f t="shared" si="0"/>
        <v>0</v>
      </c>
      <c r="H26" s="556">
        <v>0</v>
      </c>
      <c r="I26" s="556">
        <f t="shared" si="1"/>
        <v>0</v>
      </c>
      <c r="L26" s="563"/>
      <c r="M26" s="684"/>
      <c r="N26" s="685"/>
      <c r="O26" s="689"/>
      <c r="P26" s="680"/>
      <c r="Q26" s="680"/>
      <c r="R26" s="680"/>
      <c r="S26" s="563"/>
      <c r="T26" s="563"/>
      <c r="U26" s="563"/>
      <c r="V26" s="563"/>
    </row>
    <row r="27" spans="1:22" x14ac:dyDescent="0.25">
      <c r="A27" s="604"/>
      <c r="B27" s="604" t="s">
        <v>125</v>
      </c>
      <c r="C27" s="558">
        <v>6270</v>
      </c>
      <c r="D27" s="556">
        <v>3848.54</v>
      </c>
      <c r="E27" s="700">
        <v>613.80223285486443</v>
      </c>
      <c r="F27" s="556">
        <v>0</v>
      </c>
      <c r="G27" s="556">
        <f t="shared" si="0"/>
        <v>0</v>
      </c>
      <c r="H27" s="556">
        <v>0</v>
      </c>
      <c r="I27" s="556">
        <f t="shared" si="1"/>
        <v>0</v>
      </c>
      <c r="L27" s="563"/>
      <c r="M27" s="684"/>
      <c r="N27" s="685"/>
      <c r="O27" s="689"/>
      <c r="P27" s="680"/>
      <c r="Q27" s="680"/>
      <c r="R27" s="680"/>
      <c r="S27" s="563"/>
      <c r="T27" s="563"/>
      <c r="U27" s="563"/>
      <c r="V27" s="563"/>
    </row>
    <row r="28" spans="1:22" x14ac:dyDescent="0.25">
      <c r="A28" s="604"/>
      <c r="B28" s="604" t="s">
        <v>126</v>
      </c>
      <c r="C28" s="558">
        <v>9547</v>
      </c>
      <c r="D28" s="556">
        <v>3332.63</v>
      </c>
      <c r="E28" s="700">
        <v>349.07614957578295</v>
      </c>
      <c r="F28" s="556">
        <v>0</v>
      </c>
      <c r="G28" s="556">
        <f t="shared" si="0"/>
        <v>0</v>
      </c>
      <c r="H28" s="556">
        <v>0</v>
      </c>
      <c r="I28" s="556">
        <f t="shared" si="1"/>
        <v>0</v>
      </c>
      <c r="L28" s="563"/>
      <c r="M28" s="684"/>
      <c r="N28" s="685"/>
      <c r="O28" s="689"/>
      <c r="P28" s="680"/>
      <c r="Q28" s="680"/>
      <c r="R28" s="680"/>
      <c r="S28" s="563"/>
      <c r="T28" s="563"/>
      <c r="U28" s="563"/>
      <c r="V28" s="563"/>
    </row>
    <row r="29" spans="1:22" x14ac:dyDescent="0.25">
      <c r="A29" s="604"/>
      <c r="B29" s="604" t="s">
        <v>127</v>
      </c>
      <c r="C29" s="558">
        <v>28707</v>
      </c>
      <c r="D29" s="556">
        <v>7747.8499999999985</v>
      </c>
      <c r="E29" s="700">
        <v>269.89410248371473</v>
      </c>
      <c r="F29" s="556">
        <v>0</v>
      </c>
      <c r="G29" s="556">
        <f t="shared" si="0"/>
        <v>0</v>
      </c>
      <c r="H29" s="556">
        <v>0</v>
      </c>
      <c r="I29" s="556">
        <f t="shared" si="1"/>
        <v>0</v>
      </c>
      <c r="L29" s="563"/>
      <c r="M29" s="684"/>
      <c r="N29" s="685"/>
      <c r="O29" s="689"/>
      <c r="P29" s="680"/>
      <c r="Q29" s="680"/>
      <c r="R29" s="680"/>
      <c r="S29" s="563"/>
      <c r="T29" s="563"/>
      <c r="U29" s="563"/>
      <c r="V29" s="563"/>
    </row>
    <row r="30" spans="1:22" x14ac:dyDescent="0.25">
      <c r="A30" s="604"/>
      <c r="B30" s="604" t="s">
        <v>128</v>
      </c>
      <c r="C30" s="558">
        <v>8306</v>
      </c>
      <c r="D30" s="556">
        <v>2440.19</v>
      </c>
      <c r="E30" s="700">
        <v>293.78641945581506</v>
      </c>
      <c r="F30" s="556">
        <v>0</v>
      </c>
      <c r="G30" s="556">
        <f t="shared" si="0"/>
        <v>0</v>
      </c>
      <c r="H30" s="556">
        <v>231</v>
      </c>
      <c r="I30" s="556">
        <f t="shared" si="1"/>
        <v>27.811220804237902</v>
      </c>
      <c r="L30" s="563"/>
      <c r="M30" s="684"/>
      <c r="N30" s="685"/>
      <c r="O30" s="689"/>
      <c r="P30" s="680"/>
      <c r="Q30" s="680"/>
      <c r="R30" s="680"/>
      <c r="S30" s="563"/>
      <c r="T30" s="563"/>
      <c r="U30" s="563"/>
      <c r="V30" s="563"/>
    </row>
    <row r="31" spans="1:22" x14ac:dyDescent="0.25">
      <c r="A31" s="604" t="s">
        <v>129</v>
      </c>
      <c r="B31" s="604" t="s">
        <v>130</v>
      </c>
      <c r="C31" s="558">
        <v>12390</v>
      </c>
      <c r="D31" s="556">
        <v>4761.4799999999996</v>
      </c>
      <c r="E31" s="700">
        <v>384.30024213075063</v>
      </c>
      <c r="F31" s="556">
        <v>41.5</v>
      </c>
      <c r="G31" s="556">
        <f t="shared" si="0"/>
        <v>3.3494753833736883</v>
      </c>
      <c r="H31" s="556">
        <v>0</v>
      </c>
      <c r="I31" s="556">
        <f t="shared" si="1"/>
        <v>0</v>
      </c>
      <c r="L31" s="563"/>
      <c r="M31" s="684"/>
      <c r="N31" s="685"/>
      <c r="O31" s="686"/>
      <c r="P31" s="563"/>
      <c r="Q31" s="563"/>
      <c r="R31" s="563"/>
      <c r="S31" s="563"/>
      <c r="T31" s="563"/>
      <c r="U31" s="563"/>
      <c r="V31" s="563"/>
    </row>
    <row r="32" spans="1:22" x14ac:dyDescent="0.25">
      <c r="A32" s="604"/>
      <c r="B32" s="604" t="s">
        <v>131</v>
      </c>
      <c r="C32" s="558">
        <v>7800</v>
      </c>
      <c r="D32" s="556">
        <v>2914.42</v>
      </c>
      <c r="E32" s="700">
        <v>373.64358974358976</v>
      </c>
      <c r="F32" s="556">
        <v>133.86000000000001</v>
      </c>
      <c r="G32" s="556">
        <f t="shared" si="0"/>
        <v>17.161538461538463</v>
      </c>
      <c r="H32" s="556">
        <v>0</v>
      </c>
      <c r="I32" s="556">
        <f t="shared" si="1"/>
        <v>0</v>
      </c>
      <c r="L32" s="563"/>
      <c r="M32" s="684"/>
      <c r="N32" s="685"/>
      <c r="O32" s="686"/>
      <c r="P32" s="563"/>
      <c r="Q32" s="563"/>
      <c r="R32" s="563"/>
      <c r="S32" s="563"/>
      <c r="T32" s="563"/>
      <c r="U32" s="563"/>
      <c r="V32" s="563"/>
    </row>
    <row r="33" spans="1:22" x14ac:dyDescent="0.25">
      <c r="A33" s="604"/>
      <c r="B33" s="604" t="s">
        <v>132</v>
      </c>
      <c r="C33" s="558">
        <v>46157</v>
      </c>
      <c r="D33" s="556">
        <v>15916.02</v>
      </c>
      <c r="E33" s="700">
        <v>344.82353705830104</v>
      </c>
      <c r="F33" s="556">
        <v>1098.3399999999999</v>
      </c>
      <c r="G33" s="556">
        <f t="shared" si="0"/>
        <v>23.795740624390668</v>
      </c>
      <c r="H33" s="556">
        <v>0</v>
      </c>
      <c r="I33" s="556">
        <f t="shared" si="1"/>
        <v>0</v>
      </c>
      <c r="L33" s="563"/>
      <c r="M33" s="684"/>
      <c r="N33" s="685"/>
      <c r="O33" s="686"/>
      <c r="P33" s="563"/>
      <c r="Q33" s="563"/>
      <c r="R33" s="563"/>
      <c r="S33" s="563"/>
      <c r="T33" s="563"/>
      <c r="U33" s="563"/>
      <c r="V33" s="563"/>
    </row>
    <row r="34" spans="1:22" x14ac:dyDescent="0.25">
      <c r="A34" s="604"/>
      <c r="B34" s="604" t="s">
        <v>133</v>
      </c>
      <c r="C34" s="558">
        <v>3141</v>
      </c>
      <c r="D34" s="556">
        <v>1161.7</v>
      </c>
      <c r="E34" s="700">
        <v>369.85036612543774</v>
      </c>
      <c r="F34" s="556">
        <v>253.66</v>
      </c>
      <c r="G34" s="556">
        <f t="shared" si="0"/>
        <v>80.757720471187525</v>
      </c>
      <c r="H34" s="556">
        <v>0</v>
      </c>
      <c r="I34" s="556">
        <f t="shared" si="1"/>
        <v>0</v>
      </c>
      <c r="J34" s="661"/>
      <c r="K34" s="661"/>
      <c r="L34" s="662"/>
      <c r="M34" s="690"/>
      <c r="N34" s="691"/>
      <c r="O34" s="692"/>
      <c r="P34" s="693"/>
      <c r="Q34" s="693"/>
      <c r="R34" s="693"/>
      <c r="S34" s="563"/>
      <c r="T34" s="563"/>
      <c r="U34" s="563"/>
      <c r="V34" s="563"/>
    </row>
    <row r="35" spans="1:22" x14ac:dyDescent="0.25">
      <c r="A35" s="604"/>
      <c r="B35" s="604" t="s">
        <v>134</v>
      </c>
      <c r="C35" s="558">
        <v>4425</v>
      </c>
      <c r="D35" s="556">
        <v>1662.5</v>
      </c>
      <c r="E35" s="700">
        <v>375.70621468926555</v>
      </c>
      <c r="F35" s="556">
        <v>152.38</v>
      </c>
      <c r="G35" s="556">
        <f t="shared" si="0"/>
        <v>34.436158192090396</v>
      </c>
      <c r="H35" s="556">
        <v>0</v>
      </c>
      <c r="I35" s="556">
        <f t="shared" si="1"/>
        <v>0</v>
      </c>
      <c r="L35" s="563"/>
      <c r="M35" s="684"/>
      <c r="N35" s="685"/>
      <c r="O35" s="686"/>
      <c r="P35" s="563"/>
      <c r="Q35" s="563"/>
      <c r="R35" s="563"/>
      <c r="S35" s="563"/>
      <c r="T35" s="563"/>
      <c r="U35" s="563"/>
      <c r="V35" s="563"/>
    </row>
    <row r="36" spans="1:22" x14ac:dyDescent="0.25">
      <c r="A36" s="604"/>
      <c r="B36" s="604" t="s">
        <v>135</v>
      </c>
      <c r="C36" s="558">
        <v>7678</v>
      </c>
      <c r="D36" s="556">
        <v>3719.68</v>
      </c>
      <c r="E36" s="700">
        <v>484.45949466006772</v>
      </c>
      <c r="F36" s="556">
        <v>339.02</v>
      </c>
      <c r="G36" s="556">
        <f t="shared" si="0"/>
        <v>44.154727793696274</v>
      </c>
      <c r="H36" s="556">
        <v>0</v>
      </c>
      <c r="I36" s="556">
        <f t="shared" si="1"/>
        <v>0</v>
      </c>
      <c r="L36" s="563"/>
      <c r="M36" s="684"/>
      <c r="N36" s="685"/>
      <c r="O36" s="687"/>
      <c r="P36" s="688"/>
      <c r="Q36" s="563"/>
      <c r="R36" s="563"/>
      <c r="S36" s="563"/>
      <c r="T36" s="563"/>
      <c r="U36" s="563"/>
      <c r="V36" s="563"/>
    </row>
    <row r="37" spans="1:22" x14ac:dyDescent="0.25">
      <c r="A37" s="604" t="s">
        <v>136</v>
      </c>
      <c r="B37" s="604"/>
      <c r="C37" s="558">
        <f>SUM(C4:C36)</f>
        <v>1326315</v>
      </c>
      <c r="D37" s="556">
        <f>SUM(D4:D36)</f>
        <v>432384.80599999911</v>
      </c>
      <c r="E37" s="556">
        <f>D37*1000/C37</f>
        <v>326.00461127258541</v>
      </c>
      <c r="F37" s="556">
        <f>SUM(F4:F36)</f>
        <v>70516.984000000011</v>
      </c>
      <c r="G37" s="556">
        <f>F37*1000/C37</f>
        <v>53.167598948967637</v>
      </c>
      <c r="H37" s="556">
        <f>SUM(H4:H36)</f>
        <v>6307.4000000000005</v>
      </c>
      <c r="I37" s="556">
        <f>H37*1000/C37</f>
        <v>4.7555821957830542</v>
      </c>
      <c r="L37" s="563"/>
      <c r="M37" s="563"/>
      <c r="N37" s="563"/>
      <c r="O37" s="563"/>
      <c r="P37" s="563"/>
      <c r="Q37" s="563"/>
      <c r="R37" s="563"/>
      <c r="S37" s="563"/>
      <c r="T37" s="563"/>
      <c r="U37" s="563"/>
      <c r="V37" s="563"/>
    </row>
    <row r="38" spans="1:22" ht="27" customHeight="1" x14ac:dyDescent="0.25">
      <c r="D38" s="697"/>
      <c r="E38" s="588"/>
    </row>
  </sheetData>
  <sheetProtection selectLockedCells="1" selectUnlockedCells="1"/>
  <phoneticPr fontId="33" type="noConversion"/>
  <conditionalFormatting sqref="E4:E36">
    <cfRule type="colorScale" priority="1">
      <colorScale>
        <cfvo type="min"/>
        <cfvo type="percentile" val="50"/>
        <cfvo type="max"/>
        <color rgb="FF70AD47"/>
        <color rgb="FFFFEB84"/>
        <color rgb="FFFF0000"/>
      </colorScale>
    </cfRule>
  </conditionalFormatting>
  <hyperlinks>
    <hyperlink ref="E1" location="Índice!A1" display="ir a índice" xr:uid="{6EB3C1C6-8607-4814-A368-EB97E7411793}"/>
  </hyperlinks>
  <pageMargins left="0.15763888888888888" right="0.15763888888888888" top="0.27569444444444446" bottom="0.15763888888888888" header="0.51180555555555551" footer="0.51180555555555551"/>
  <pageSetup paperSize="9" scale="90" firstPageNumber="0" orientation="portrait" horizontalDpi="300" verticalDpi="300"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tabColor rgb="FFBF8B2E"/>
  </sheetPr>
  <dimension ref="A1:O36"/>
  <sheetViews>
    <sheetView workbookViewId="0">
      <selection activeCell="M1" sqref="M1"/>
    </sheetView>
  </sheetViews>
  <sheetFormatPr baseColWidth="10" defaultColWidth="11.42578125" defaultRowHeight="14.25" x14ac:dyDescent="0.25"/>
  <cols>
    <col min="1" max="1" width="33.7109375" style="563" customWidth="1"/>
    <col min="2" max="2" width="8.85546875" style="563" customWidth="1"/>
    <col min="3" max="3" width="8.5703125" style="563" customWidth="1"/>
    <col min="4" max="4" width="8.85546875" style="563" customWidth="1"/>
    <col min="5" max="5" width="12.85546875" style="563" customWidth="1"/>
    <col min="6" max="6" width="9.140625" style="563" customWidth="1"/>
    <col min="7" max="7" width="8.28515625" style="563" customWidth="1"/>
    <col min="8" max="8" width="9.140625" style="563" customWidth="1"/>
    <col min="9" max="9" width="8.85546875" style="563" customWidth="1"/>
    <col min="10" max="10" width="8.7109375" style="563" customWidth="1"/>
    <col min="11" max="11" width="9" style="563" customWidth="1"/>
    <col min="12" max="12" width="10" style="563" customWidth="1"/>
    <col min="13" max="16384" width="11.42578125" style="563"/>
  </cols>
  <sheetData>
    <row r="1" spans="1:15" x14ac:dyDescent="0.25">
      <c r="A1" s="555" t="s">
        <v>1070</v>
      </c>
      <c r="E1" s="942" t="s">
        <v>1230</v>
      </c>
    </row>
    <row r="2" spans="1:15" x14ac:dyDescent="0.25">
      <c r="A2" s="555" t="s">
        <v>1071</v>
      </c>
      <c r="B2" s="603"/>
      <c r="C2" s="603"/>
      <c r="D2" s="603"/>
      <c r="E2" s="603"/>
      <c r="F2" s="603"/>
      <c r="G2" s="603"/>
    </row>
    <row r="3" spans="1:15" x14ac:dyDescent="0.25">
      <c r="A3" s="604" t="s">
        <v>1008</v>
      </c>
      <c r="B3" s="604" t="s">
        <v>1043</v>
      </c>
      <c r="C3" s="604" t="s">
        <v>1044</v>
      </c>
      <c r="D3" s="604" t="s">
        <v>1045</v>
      </c>
      <c r="E3" s="604" t="s">
        <v>1046</v>
      </c>
      <c r="F3" s="604" t="s">
        <v>1047</v>
      </c>
      <c r="G3" s="604" t="s">
        <v>1048</v>
      </c>
      <c r="H3" s="604" t="s">
        <v>1049</v>
      </c>
      <c r="I3" s="604" t="s">
        <v>1050</v>
      </c>
      <c r="J3" s="604" t="s">
        <v>1051</v>
      </c>
      <c r="K3" s="604" t="s">
        <v>1052</v>
      </c>
      <c r="L3" s="604" t="s">
        <v>1053</v>
      </c>
      <c r="M3" s="564"/>
    </row>
    <row r="4" spans="1:15" ht="28.5" x14ac:dyDescent="0.25">
      <c r="A4" s="604" t="s">
        <v>137</v>
      </c>
      <c r="B4" s="704">
        <v>0.247</v>
      </c>
      <c r="C4" s="704">
        <v>0.29499999999999998</v>
      </c>
      <c r="D4" s="704">
        <v>0.28599999999999998</v>
      </c>
      <c r="E4" s="704">
        <v>0.26700000000000002</v>
      </c>
      <c r="F4" s="704">
        <v>0.26500000000000001</v>
      </c>
      <c r="G4" s="704">
        <v>0.28899999999999998</v>
      </c>
      <c r="H4" s="704">
        <v>0.28360154494109274</v>
      </c>
      <c r="I4" s="704">
        <v>0.29830684437592198</v>
      </c>
      <c r="J4" s="704">
        <v>0.32007541582397026</v>
      </c>
      <c r="K4" s="704">
        <v>0.31857546430939399</v>
      </c>
      <c r="L4" s="704">
        <v>0.38015046788805879</v>
      </c>
      <c r="M4" s="702"/>
      <c r="N4" s="662"/>
    </row>
    <row r="5" spans="1:15" x14ac:dyDescent="0.25">
      <c r="A5" s="604" t="s">
        <v>138</v>
      </c>
      <c r="B5" s="704">
        <v>0.5</v>
      </c>
      <c r="C5" s="704">
        <v>0.5</v>
      </c>
      <c r="D5" s="704">
        <v>0.5</v>
      </c>
      <c r="E5" s="704">
        <v>0.5</v>
      </c>
      <c r="F5" s="704">
        <v>0.5</v>
      </c>
      <c r="G5" s="704">
        <v>0.5</v>
      </c>
      <c r="H5" s="704">
        <v>0.5</v>
      </c>
      <c r="I5" s="704">
        <v>0.5</v>
      </c>
      <c r="J5" s="704">
        <v>0.5</v>
      </c>
      <c r="K5" s="704">
        <v>0.5</v>
      </c>
      <c r="L5" s="704">
        <v>0.5</v>
      </c>
      <c r="M5" s="702"/>
      <c r="N5" s="662"/>
      <c r="O5" s="662"/>
    </row>
    <row r="6" spans="1:15" x14ac:dyDescent="0.25">
      <c r="A6" s="604" t="s">
        <v>139</v>
      </c>
      <c r="B6" s="704">
        <v>0.55000000000000004</v>
      </c>
      <c r="C6" s="704">
        <v>0.55000000000000004</v>
      </c>
      <c r="D6" s="704">
        <v>0.55000000000000004</v>
      </c>
      <c r="E6" s="704">
        <v>0.55000000000000004</v>
      </c>
      <c r="F6" s="704">
        <v>0.55000000000000004</v>
      </c>
      <c r="G6" s="704">
        <v>0.55000000000000004</v>
      </c>
      <c r="H6" s="704">
        <v>0.55000000000000004</v>
      </c>
      <c r="I6" s="704">
        <v>0.55000000000000004</v>
      </c>
      <c r="J6" s="704">
        <v>0.55000000000000004</v>
      </c>
      <c r="K6" s="704">
        <v>0.55000000000000004</v>
      </c>
      <c r="L6" s="704">
        <v>0.55000000000000004</v>
      </c>
      <c r="M6" s="702"/>
      <c r="N6" s="662"/>
      <c r="O6" s="662"/>
    </row>
    <row r="7" spans="1:15" x14ac:dyDescent="0.25">
      <c r="A7" s="604" t="s">
        <v>140</v>
      </c>
      <c r="B7" s="704">
        <v>0.6</v>
      </c>
      <c r="C7" s="704">
        <v>0.6</v>
      </c>
      <c r="D7" s="704">
        <v>0.6</v>
      </c>
      <c r="E7" s="704">
        <v>0.6</v>
      </c>
      <c r="F7" s="704">
        <v>0.6</v>
      </c>
      <c r="G7" s="704">
        <v>0.6</v>
      </c>
      <c r="H7" s="704">
        <v>0.6</v>
      </c>
      <c r="I7" s="704">
        <v>0.6</v>
      </c>
      <c r="J7" s="704">
        <v>0.6</v>
      </c>
      <c r="K7" s="704">
        <v>0.6</v>
      </c>
      <c r="L7" s="704">
        <v>0.6</v>
      </c>
      <c r="M7" s="702"/>
      <c r="N7" s="662"/>
      <c r="O7" s="662"/>
    </row>
    <row r="8" spans="1:15" x14ac:dyDescent="0.25">
      <c r="A8" s="604" t="s">
        <v>141</v>
      </c>
      <c r="B8" s="704">
        <v>0.65</v>
      </c>
      <c r="C8" s="704">
        <v>0.65</v>
      </c>
      <c r="D8" s="704">
        <v>0.65</v>
      </c>
      <c r="E8" s="704">
        <v>0.65</v>
      </c>
      <c r="F8" s="704">
        <v>0.65</v>
      </c>
      <c r="G8" s="704">
        <v>0.65</v>
      </c>
      <c r="H8" s="704">
        <v>0.65</v>
      </c>
      <c r="I8" s="704">
        <v>0.65</v>
      </c>
      <c r="J8" s="704">
        <v>0.65</v>
      </c>
      <c r="K8" s="704">
        <v>0.65</v>
      </c>
      <c r="L8" s="704">
        <v>0.65</v>
      </c>
      <c r="M8" s="702"/>
      <c r="N8" s="662"/>
      <c r="O8" s="662"/>
    </row>
    <row r="9" spans="1:15" x14ac:dyDescent="0.25">
      <c r="A9" s="585"/>
      <c r="B9" s="585"/>
      <c r="C9" s="585"/>
      <c r="D9" s="585"/>
      <c r="E9" s="585"/>
      <c r="F9" s="585"/>
      <c r="G9" s="585"/>
    </row>
    <row r="36" spans="4:4" ht="84.75" x14ac:dyDescent="0.25">
      <c r="D36" s="701" t="s">
        <v>91</v>
      </c>
    </row>
  </sheetData>
  <phoneticPr fontId="34" type="noConversion"/>
  <hyperlinks>
    <hyperlink ref="E1" location="Índice!A1" display="ir a índice" xr:uid="{63ED1F94-A679-45E4-89F8-2C7FE6D28995}"/>
  </hyperlinks>
  <pageMargins left="0.7" right="0.7" top="0.75" bottom="0.75" header="0.3" footer="0.3"/>
  <pageSetup paperSize="9" orientation="portrait"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67</vt:i4>
      </vt:variant>
    </vt:vector>
  </HeadingPairs>
  <TitlesOfParts>
    <vt:vector size="122" baseType="lpstr">
      <vt:lpstr>Índice</vt:lpstr>
      <vt:lpstr>Tabla 1.5-1</vt:lpstr>
      <vt:lpstr>Tabla 1.5-2</vt:lpstr>
      <vt:lpstr>Figura 1.5-1</vt:lpstr>
      <vt:lpstr>Figura 1.5-2</vt:lpstr>
      <vt:lpstr>Tabla 1.5-3</vt:lpstr>
      <vt:lpstr>Figura 1.5-3</vt:lpstr>
      <vt:lpstr>Tabla 1.5-4</vt:lpstr>
      <vt:lpstr>Figura 1.5-5</vt:lpstr>
      <vt:lpstr>Tabla 1.5-5</vt:lpstr>
      <vt:lpstr>Tabla 1.5-6</vt:lpstr>
      <vt:lpstr>Tabla 1.5-7</vt:lpstr>
      <vt:lpstr> Tabla 1.5-8</vt:lpstr>
      <vt:lpstr>Tabla 1.5-9</vt:lpstr>
      <vt:lpstr>Figura 1.5-6</vt:lpstr>
      <vt:lpstr>Tabla 1.5-10</vt:lpstr>
      <vt:lpstr>Tabla 1.5-11</vt:lpstr>
      <vt:lpstr>Figura 1.5-8</vt:lpstr>
      <vt:lpstr>Tabla 1.5-12</vt:lpstr>
      <vt:lpstr>Tabla 1.5-13</vt:lpstr>
      <vt:lpstr>Figura 1.5-11</vt:lpstr>
      <vt:lpstr> Tabla 1.5-14</vt:lpstr>
      <vt:lpstr>Tabla 1.5-15</vt:lpstr>
      <vt:lpstr>Figura 1.5-12</vt:lpstr>
      <vt:lpstr>Tabla 1.5-16</vt:lpstr>
      <vt:lpstr>Figura 1.5-13</vt:lpstr>
      <vt:lpstr>Tabla 1.5-17</vt:lpstr>
      <vt:lpstr>Tabla 1.5-18</vt:lpstr>
      <vt:lpstr>Figura 1.5-14</vt:lpstr>
      <vt:lpstr>Tabla 1.5-19</vt:lpstr>
      <vt:lpstr>Figura 1.5-15</vt:lpstr>
      <vt:lpstr>Tabla 1.5.20</vt:lpstr>
      <vt:lpstr>Figura 1.5-16</vt:lpstr>
      <vt:lpstr>Tabla 1.5-21</vt:lpstr>
      <vt:lpstr>Figura 1.5-17</vt:lpstr>
      <vt:lpstr>Figura 1.5-18</vt:lpstr>
      <vt:lpstr>Tabla 1.5-22</vt:lpstr>
      <vt:lpstr>Tabla 1.5-23</vt:lpstr>
      <vt:lpstr>Tabla 1.5-24</vt:lpstr>
      <vt:lpstr>Tabla 1.5-25</vt:lpstr>
      <vt:lpstr>Figura 1.5-19</vt:lpstr>
      <vt:lpstr>Tabla 1.5-26</vt:lpstr>
      <vt:lpstr>Tabla 1.5-27</vt:lpstr>
      <vt:lpstr>Figura 1.5-20</vt:lpstr>
      <vt:lpstr>Figura 1.5-21</vt:lpstr>
      <vt:lpstr>Tabla 1.5-28</vt:lpstr>
      <vt:lpstr>Figura 1.5-22</vt:lpstr>
      <vt:lpstr>Tabla 1.5-29</vt:lpstr>
      <vt:lpstr>Figura 1.5-23</vt:lpstr>
      <vt:lpstr>Tabla 1.5-30</vt:lpstr>
      <vt:lpstr>Figura 1.5-24</vt:lpstr>
      <vt:lpstr>Tabla 1.5-31</vt:lpstr>
      <vt:lpstr>Figura 1.5-25</vt:lpstr>
      <vt:lpstr>Tabla 1.5-31 a 49</vt:lpstr>
      <vt:lpstr>Tabla 1.5-50 a 70 </vt:lpstr>
      <vt:lpstr>'Tabla 1.5-1'!_Ref179889601</vt:lpstr>
      <vt:lpstr>'Tabla 1.5-4'!_Ref179892365</vt:lpstr>
      <vt:lpstr>'Tabla 1.5-5'!_Ref179893536</vt:lpstr>
      <vt:lpstr>'Tabla 1.5-6'!_Ref179894358</vt:lpstr>
      <vt:lpstr>'Tabla 1.5-7'!_Ref179894606</vt:lpstr>
      <vt:lpstr>' Tabla 1.5-8'!_Ref179894826</vt:lpstr>
      <vt:lpstr>'Tabla 1.5-9'!_Ref179894939</vt:lpstr>
      <vt:lpstr>'Tabla 1.5-10'!_Ref179895490</vt:lpstr>
      <vt:lpstr>'Tabla 1.5-11'!_Ref179895693</vt:lpstr>
      <vt:lpstr>' Tabla 1.5-14'!_Ref179897162</vt:lpstr>
      <vt:lpstr>'Tabla 1.5-15'!_Ref179897271</vt:lpstr>
      <vt:lpstr>'Tabla 1.5-16'!_Ref179897839</vt:lpstr>
      <vt:lpstr>'Tabla 1.5-17'!_Ref179899358</vt:lpstr>
      <vt:lpstr>'Tabla 1.5-18'!_Ref179899563</vt:lpstr>
      <vt:lpstr>'Tabla 1.5-19'!_Ref179968444</vt:lpstr>
      <vt:lpstr>'Tabla 1.5.20'!_Ref179972737</vt:lpstr>
      <vt:lpstr>'Tabla 1.5-21'!_Ref179973229</vt:lpstr>
      <vt:lpstr>'Tabla 1.5-22'!_Ref179976263</vt:lpstr>
      <vt:lpstr>'Tabla 1.5-23'!_Ref179976453</vt:lpstr>
      <vt:lpstr>'Tabla 1.5-24'!_Ref179976723</vt:lpstr>
      <vt:lpstr>'Tabla 1.5-26'!_Ref179979306</vt:lpstr>
      <vt:lpstr>'Tabla 1.5-27'!_Ref179979534</vt:lpstr>
      <vt:lpstr>'Tabla 1.5-28'!_Ref179981713</vt:lpstr>
      <vt:lpstr>'Tabla 1.5-31'!_Ref179982905</vt:lpstr>
      <vt:lpstr>'Tabla 1.5-2'!_Ref214623438</vt:lpstr>
      <vt:lpstr>'Figura 1.5-1'!_Ref214623474</vt:lpstr>
      <vt:lpstr>'Figura 1.5-2'!_Ref214623508</vt:lpstr>
      <vt:lpstr>'Figura 1.5-3'!_Ref214623541</vt:lpstr>
      <vt:lpstr>'Figura 1.5-5'!_Ref214623790</vt:lpstr>
      <vt:lpstr>'Figura 1.5-6'!_Ref214623837</vt:lpstr>
      <vt:lpstr>'Figura 1.5-8'!_Ref214623872</vt:lpstr>
      <vt:lpstr>'Figura 1.5-11'!_Ref214623993</vt:lpstr>
      <vt:lpstr>'Figura 1.5-12'!_Ref214624021</vt:lpstr>
      <vt:lpstr>'Figura 1.5-13'!_Ref214624054</vt:lpstr>
      <vt:lpstr>'Figura 1.5-14'!_Ref214624091</vt:lpstr>
      <vt:lpstr>'Figura 1.5-17'!_Ref214624313</vt:lpstr>
      <vt:lpstr>'Figura 1.5-18'!_Ref214624343</vt:lpstr>
      <vt:lpstr>'Figura 1.5-19'!_Ref214624428</vt:lpstr>
      <vt:lpstr>'Figura 1.5-21'!_Ref214624681</vt:lpstr>
      <vt:lpstr>'Figura 1.5-24'!_Ref214624753</vt:lpstr>
      <vt:lpstr>'Figura 1.5-25'!_Ref214624771</vt:lpstr>
      <vt:lpstr>'Tabla 1.5-30'!_Ref216175082</vt:lpstr>
      <vt:lpstr>'Tabla 1.5-3'!_Toc215660248</vt:lpstr>
      <vt:lpstr>'Tabla 1.5-12'!_Toc215660257</vt:lpstr>
      <vt:lpstr>'Tabla 1.5-13'!_Toc215660258</vt:lpstr>
      <vt:lpstr>'Figura 1.5-15'!_Toc215833447</vt:lpstr>
      <vt:lpstr>'Figura 1.5-16'!_Toc215833448</vt:lpstr>
      <vt:lpstr>'Figura 1.5-20'!_Toc216170645</vt:lpstr>
      <vt:lpstr>'Figura 1.5-22'!_Toc216170647</vt:lpstr>
      <vt:lpstr>'Figura 1.5-23'!_Toc216170648</vt:lpstr>
      <vt:lpstr>'Tabla 1.5-25'!_Toc216170811</vt:lpstr>
      <vt:lpstr>'Tabla 1.5-29'!_Toc216170815</vt:lpstr>
      <vt:lpstr>'Tabla 1.5-31 a 49'!_Toc216170818</vt:lpstr>
      <vt:lpstr>'Figura 1.5-15'!Área_de_impresión</vt:lpstr>
      <vt:lpstr>'Figura 1.5-6'!Área_de_impresión</vt:lpstr>
      <vt:lpstr>'Tabla 1.5-10'!Área_de_impresión</vt:lpstr>
      <vt:lpstr>'Tabla 1.5-11'!Área_de_impresión</vt:lpstr>
      <vt:lpstr>'Tabla 1.5-15'!Área_de_impresión</vt:lpstr>
      <vt:lpstr>'Tabla 1.5-16'!Área_de_impresión</vt:lpstr>
      <vt:lpstr>'Tabla 1.5-18'!Área_de_impresión</vt:lpstr>
      <vt:lpstr>'Tabla 1.5-22'!Área_de_impresión</vt:lpstr>
      <vt:lpstr>'Tabla 1.5-28'!Área_de_impresión</vt:lpstr>
      <vt:lpstr>'Tabla 1.5-29'!Área_de_impresión</vt:lpstr>
      <vt:lpstr>'Tabla 1.5-30'!Área_de_impresión</vt:lpstr>
      <vt:lpstr>'Tabla 1.5-6'!Área_de_impresión</vt:lpstr>
      <vt:lpstr>'Tabla 1.5-31 a 49'!Títulos_a_imprimir</vt:lpstr>
      <vt:lpstr>'Tabla 1.5-50 a 70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2026-02-04T15:59:49Z</dcterms:created>
  <dcterms:modified xsi:type="dcterms:W3CDTF">2026-02-04T16:00:01Z</dcterms:modified>
  <cp:category/>
  <cp:contentStatus/>
</cp:coreProperties>
</file>