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1"/>
  </bookViews>
  <sheets>
    <sheet name="Aragón" sheetId="1" r:id="rId1"/>
    <sheet name="España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<sst xmlns="http://schemas.openxmlformats.org/spreadsheetml/2006/main" count="42" uniqueCount="28">
  <si>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Información estadística de Aragón</t>
  </si>
  <si>
    <t>Unidad: toneladas equivalentes de petróleo / habitante</t>
  </si>
  <si>
    <t>Carbón/habitante</t>
  </si>
  <si>
    <t>Gas natural/habitante</t>
  </si>
  <si>
    <t>Electricidad/habitante</t>
  </si>
  <si>
    <t>Población, en millones de habitantes</t>
  </si>
  <si>
    <t>Energía final/habitante</t>
  </si>
  <si>
    <t>Energía eléctrica/habitante</t>
  </si>
  <si>
    <t>Energías renovables/habitante</t>
  </si>
  <si>
    <t>Productos petrolíferos/habitante</t>
  </si>
  <si>
    <t xml:space="preserve"> -</t>
  </si>
  <si>
    <t>Calor útil/habitante</t>
  </si>
  <si>
    <t>Medio Ambiente y Energía</t>
  </si>
  <si>
    <t>Energía / Indicadores principales de energía / Indicadores de intensidad de energía</t>
  </si>
  <si>
    <t>(P) Datos provisionales.</t>
  </si>
  <si>
    <t>Productos del petróleo /habitante</t>
  </si>
  <si>
    <t xml:space="preserve">Gases derivados del carbón/habitante </t>
  </si>
  <si>
    <r>
      <t xml:space="preserve">Fuente: Instituto Aragonés de Estadística </t>
    </r>
    <r>
      <rPr>
        <b/>
        <sz val="7"/>
        <rFont val="Arial"/>
        <family val="2"/>
      </rPr>
      <t>(IAEST)</t>
    </r>
    <r>
      <rPr>
        <sz val="7"/>
        <rFont val="Arial"/>
        <family val="2"/>
      </rPr>
      <t>, según datos del Boletín de Coyuntura Energética en Aragón. Departamento de Economía,  Industria y Comercio. Gobierno de Aragón.</t>
    </r>
  </si>
  <si>
    <t xml:space="preserve">Fuente: Datos de población :Cifras oficiales de la población de los municipios españoles.Revisión del padrón municipal.Instituto Nacional de Estadística </t>
  </si>
  <si>
    <t>Energías renovables/ habitante (1)</t>
  </si>
  <si>
    <t>(1): incluye los residuos no renovables.</t>
  </si>
  <si>
    <t>Consumo de energía final per cápita (por habitante). Aragón. Años 1998-2016.</t>
  </si>
  <si>
    <t xml:space="preserve">Fuente:Datos del Boletín Estadístico (año 2016) y de  La energía en España (anexo estadístico y metodología). Ministerio de  Energía , Turismo y Agenda Digital.. </t>
  </si>
  <si>
    <t>Consumo de energía final per cápita (por habitante). España. Años 1998-2016.</t>
  </si>
  <si>
    <t>-</t>
  </si>
  <si>
    <t>2016 (P)</t>
  </si>
  <si>
    <t>Publicación: Instituto Aragonés de Estadística (IAEST), 29 de septiembre de 2017.</t>
  </si>
  <si>
    <t>Elaboración y Publicación: Instituto Aragonés de Estadística (IAEST), 29 de septiembre de 2017.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</si>
</sst>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.0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"/>
    <numFmt numFmtId="182" formatCode="[$€-2]\ #,##0.00_);[Red]\([$€-2]\ #,##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2" borderId="0" xfId="0" applyFont="1" applyFill="1" applyAlignment="1">
      <alignment horizontal="left" indent="5"/>
    </xf>
    <xf numFmtId="0" fontId="2" fillId="2" borderId="0" xfId="0" applyFont="1" applyFill="1" applyAlignment="1">
      <alignment horizontal="left" indent="4"/>
    </xf>
    <xf numFmtId="0" fontId="2" fillId="2" borderId="0" xfId="0" applyFont="1" applyFill="1" applyBorder="1" applyAlignment="1">
      <alignment horizontal="left" indent="4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6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6" fillId="3" borderId="0" xfId="0" applyFont="1" applyFill="1" applyBorder="1" applyAlignment="1">
      <alignment/>
    </xf>
    <xf numFmtId="3" fontId="7" fillId="3" borderId="0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 wrapText="1"/>
    </xf>
    <xf numFmtId="3" fontId="8" fillId="3" borderId="1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wrapText="1"/>
    </xf>
    <xf numFmtId="3" fontId="2" fillId="2" borderId="0" xfId="0" applyNumberFormat="1" applyFont="1" applyFill="1" applyAlignment="1">
      <alignment horizontal="left" indent="4"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0" fontId="6" fillId="3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10" fillId="3" borderId="0" xfId="0" applyFont="1" applyFill="1" applyAlignment="1">
      <alignment/>
    </xf>
    <xf numFmtId="3" fontId="10" fillId="3" borderId="0" xfId="0" applyNumberFormat="1" applyFont="1" applyFill="1" applyAlignment="1">
      <alignment/>
    </xf>
    <xf numFmtId="3" fontId="10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/>
    </xf>
    <xf numFmtId="4" fontId="7" fillId="3" borderId="0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4" fontId="8" fillId="3" borderId="1" xfId="0" applyNumberFormat="1" applyFont="1" applyFill="1" applyBorder="1" applyAlignment="1">
      <alignment horizontal="right"/>
    </xf>
    <xf numFmtId="4" fontId="10" fillId="3" borderId="0" xfId="0" applyNumberFormat="1" applyFont="1" applyFill="1" applyBorder="1" applyAlignment="1">
      <alignment horizontal="right"/>
    </xf>
    <xf numFmtId="3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176" fontId="10" fillId="3" borderId="0" xfId="0" applyNumberFormat="1" applyFont="1" applyFill="1" applyBorder="1" applyAlignment="1">
      <alignment horizontal="right"/>
    </xf>
    <xf numFmtId="3" fontId="11" fillId="4" borderId="0" xfId="0" applyNumberFormat="1" applyFont="1" applyFill="1" applyAlignment="1">
      <alignment horizontal="right"/>
    </xf>
    <xf numFmtId="0" fontId="6" fillId="3" borderId="2" xfId="0" applyFont="1" applyFill="1" applyBorder="1" applyAlignment="1">
      <alignment/>
    </xf>
    <xf numFmtId="2" fontId="8" fillId="3" borderId="1" xfId="0" applyNumberFormat="1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right"/>
    </xf>
    <xf numFmtId="2" fontId="8" fillId="3" borderId="0" xfId="0" applyNumberFormat="1" applyFont="1" applyFill="1" applyBorder="1" applyAlignment="1">
      <alignment horizontal="right"/>
    </xf>
    <xf numFmtId="2" fontId="7" fillId="3" borderId="0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/>
    </xf>
    <xf numFmtId="2" fontId="8" fillId="3" borderId="5" xfId="0" applyNumberFormat="1" applyFont="1" applyFill="1" applyBorder="1" applyAlignment="1">
      <alignment horizontal="right"/>
    </xf>
    <xf numFmtId="0" fontId="8" fillId="3" borderId="6" xfId="0" applyFont="1" applyFill="1" applyBorder="1" applyAlignment="1">
      <alignment horizontal="right"/>
    </xf>
    <xf numFmtId="4" fontId="8" fillId="3" borderId="5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2" fontId="8" fillId="0" borderId="5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7" fillId="3" borderId="4" xfId="0" applyNumberFormat="1" applyFont="1" applyFill="1" applyBorder="1" applyAlignment="1">
      <alignment horizontal="left"/>
    </xf>
    <xf numFmtId="2" fontId="8" fillId="3" borderId="0" xfId="0" applyNumberFormat="1" applyFont="1" applyFill="1" applyBorder="1" applyAlignment="1">
      <alignment horizontal="left"/>
    </xf>
    <xf numFmtId="2" fontId="8" fillId="3" borderId="5" xfId="0" applyNumberFormat="1" applyFont="1" applyFill="1" applyBorder="1" applyAlignment="1">
      <alignment horizontal="left"/>
    </xf>
    <xf numFmtId="2" fontId="8" fillId="3" borderId="1" xfId="0" applyNumberFormat="1" applyFont="1" applyFill="1" applyBorder="1" applyAlignment="1">
      <alignment horizontal="left"/>
    </xf>
    <xf numFmtId="2" fontId="8" fillId="4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left" wrapText="1"/>
    </xf>
    <xf numFmtId="2" fontId="8" fillId="4" borderId="1" xfId="0" applyNumberFormat="1" applyFont="1" applyFill="1" applyBorder="1" applyAlignment="1">
      <alignment horizontal="right"/>
    </xf>
    <xf numFmtId="2" fontId="8" fillId="4" borderId="1" xfId="0" applyNumberFormat="1" applyFont="1" applyFill="1" applyBorder="1" applyAlignment="1">
      <alignment/>
    </xf>
    <xf numFmtId="0" fontId="9" fillId="3" borderId="0" xfId="0" applyFont="1" applyFill="1" applyBorder="1" applyAlignment="1">
      <alignment horizontal="left"/>
    </xf>
    <xf numFmtId="0" fontId="6" fillId="3" borderId="2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81924"/>
      <rgbColor rgb="0099CCFF"/>
      <rgbColor rgb="00893C00"/>
      <rgbColor rgb="00CC99FF"/>
      <rgbColor rgb="0000477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371475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371475</xdr:colOff>
      <xdr:row>0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"/>
  <sheetViews>
    <sheetView workbookViewId="0" topLeftCell="A1">
      <selection activeCell="N31" sqref="N31"/>
    </sheetView>
  </sheetViews>
  <sheetFormatPr defaultColWidth="11.421875" defaultRowHeight="12.75"/>
  <cols>
    <col min="1" max="1" width="26.7109375" style="26" customWidth="1"/>
    <col min="2" max="2" width="10.140625" style="26" customWidth="1"/>
    <col min="3" max="3" width="7.421875" style="26" customWidth="1"/>
    <col min="4" max="5" width="8.421875" style="26" customWidth="1"/>
    <col min="6" max="6" width="7.140625" style="26" customWidth="1"/>
    <col min="7" max="14" width="7.7109375" style="26" customWidth="1"/>
    <col min="15" max="15" width="7.7109375" style="28" customWidth="1"/>
    <col min="16" max="20" width="7.7109375" style="26" customWidth="1"/>
    <col min="21" max="21" width="11.7109375" style="26" customWidth="1"/>
    <col min="22" max="16384" width="0" style="26" hidden="1" customWidth="1"/>
  </cols>
  <sheetData>
    <row r="1" spans="1:45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3"/>
      <c r="P1" s="2"/>
      <c r="Q1" s="2"/>
      <c r="R1" s="2"/>
      <c r="S1" s="2"/>
      <c r="T1" s="2"/>
      <c r="U1" s="2"/>
      <c r="V1" s="2"/>
      <c r="W1" s="2"/>
      <c r="X1" s="2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5.7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24"/>
      <c r="P2" s="5"/>
      <c r="Q2" s="5"/>
      <c r="R2" s="5"/>
      <c r="S2" s="5"/>
      <c r="T2" s="5"/>
      <c r="U2" s="5"/>
      <c r="V2" s="5"/>
      <c r="W2" s="5"/>
      <c r="X2" s="5"/>
      <c r="Y2" s="6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15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/>
      <c r="P3" s="8"/>
      <c r="Q3" s="8"/>
      <c r="R3" s="8"/>
      <c r="S3" s="8"/>
      <c r="T3" s="8"/>
      <c r="U3" s="8"/>
      <c r="V3" s="8"/>
      <c r="W3" s="8"/>
      <c r="X3" s="8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1" ht="23.25" customHeight="1">
      <c r="A4" s="64" t="s">
        <v>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22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18" customHeight="1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20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2" ht="36" customHeight="1">
      <c r="A6" s="13"/>
      <c r="B6" s="13">
        <v>2016</v>
      </c>
      <c r="C6" s="69">
        <v>2015</v>
      </c>
      <c r="D6" s="30">
        <v>2014</v>
      </c>
      <c r="E6" s="30">
        <v>2013</v>
      </c>
      <c r="F6" s="13">
        <v>2012</v>
      </c>
      <c r="G6" s="47">
        <v>2011</v>
      </c>
      <c r="H6" s="47">
        <v>2010</v>
      </c>
      <c r="I6" s="47">
        <v>2009</v>
      </c>
      <c r="J6" s="47">
        <v>2008</v>
      </c>
      <c r="K6" s="47">
        <v>2007</v>
      </c>
      <c r="L6" s="47">
        <v>2006</v>
      </c>
      <c r="M6" s="47">
        <v>2005</v>
      </c>
      <c r="N6" s="29">
        <v>2004</v>
      </c>
      <c r="O6" s="29">
        <v>2003</v>
      </c>
      <c r="P6" s="29">
        <v>2002</v>
      </c>
      <c r="Q6" s="29">
        <v>2001</v>
      </c>
      <c r="R6" s="30">
        <v>2000</v>
      </c>
      <c r="S6" s="29">
        <v>1999</v>
      </c>
      <c r="T6" s="30">
        <v>1998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s="32" customFormat="1" ht="15" customHeight="1">
      <c r="A7" s="59" t="s">
        <v>6</v>
      </c>
      <c r="B7" s="49">
        <f>3663442/B14/1000000</f>
        <v>2.7995916130900844</v>
      </c>
      <c r="C7" s="49">
        <f>3614953/C14/1000000</f>
        <v>2.743074878950288</v>
      </c>
      <c r="D7" s="56">
        <f>3379242/D14/1000000</f>
        <v>2.549630484727079</v>
      </c>
      <c r="E7" s="49">
        <f>3328025/E14/1000000</f>
        <v>2.4704190327728908</v>
      </c>
      <c r="F7" s="49">
        <f>3442508/F14/1000000</f>
        <v>2.550005925925926</v>
      </c>
      <c r="G7" s="49">
        <f>3498070/G14/1000000</f>
        <v>2.592186396555084</v>
      </c>
      <c r="H7" s="49">
        <f>4028072/H14/1000000</f>
        <v>2.9901914861238446</v>
      </c>
      <c r="I7" s="49">
        <f>3670201/I14/1000000</f>
        <v>2.7278146792986555</v>
      </c>
      <c r="J7" s="49">
        <f>(2133655+1855245)/J14/1000000</f>
        <v>3.0061390379812467</v>
      </c>
      <c r="K7" s="49">
        <f>3832759/K14/1000000</f>
        <v>2.9558818652609986</v>
      </c>
      <c r="L7" s="49">
        <f>3832759/L14/1000000</f>
        <v>3.0002708476356803</v>
      </c>
      <c r="M7" s="49">
        <f>3690971/M14/1000000</f>
        <v>2.9085047047856354</v>
      </c>
      <c r="N7" s="37">
        <v>3.022394652940499</v>
      </c>
      <c r="O7" s="38">
        <v>2.7929162601626016</v>
      </c>
      <c r="P7" s="38">
        <v>2.665034511092851</v>
      </c>
      <c r="Q7" s="38">
        <v>2.534795</v>
      </c>
      <c r="R7" s="38">
        <v>2.562520605550883</v>
      </c>
      <c r="S7" s="38">
        <v>2.706425164448047</v>
      </c>
      <c r="T7" s="38">
        <v>2.514194994396713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27" customFormat="1" ht="15" customHeight="1">
      <c r="A8" s="60" t="s">
        <v>7</v>
      </c>
      <c r="B8" s="50">
        <f>813054/B14/1000000</f>
        <v>0.6213334780213104</v>
      </c>
      <c r="C8" s="50">
        <f>856967/C14/1000000</f>
        <v>0.6502780671807881</v>
      </c>
      <c r="D8" s="63">
        <f>782874/D14/1000000</f>
        <v>0.5906766713068278</v>
      </c>
      <c r="E8" s="50">
        <f>788861/E14/1000000</f>
        <v>0.5855777010726347</v>
      </c>
      <c r="F8" s="50">
        <f>815233/F14/1000000</f>
        <v>0.6038762962962962</v>
      </c>
      <c r="G8" s="50">
        <f>899238/G14/1000000</f>
        <v>0.6663653131199206</v>
      </c>
      <c r="H8" s="50">
        <f>952526/H14/1000000</f>
        <v>0.7070963814727247</v>
      </c>
      <c r="I8" s="50">
        <f>974735/I14/1000000</f>
        <v>0.7244552659176364</v>
      </c>
      <c r="J8" s="50">
        <f>(477627+502912)/J14/1000000</f>
        <v>0.7389597548605112</v>
      </c>
      <c r="K8" s="50">
        <f>908802/K14/1000000</f>
        <v>0.7008818845413777</v>
      </c>
      <c r="L8" s="50">
        <f>884794/L14/1000000</f>
        <v>0.6926137657919437</v>
      </c>
      <c r="M8" s="50">
        <f>851035/M14/1000000</f>
        <v>0.6706200892494801</v>
      </c>
      <c r="N8" s="39">
        <v>0.6058960422028451</v>
      </c>
      <c r="O8" s="39">
        <v>0.595579674796748</v>
      </c>
      <c r="P8" s="39">
        <v>0.5585028759244043</v>
      </c>
      <c r="Q8" s="39">
        <v>0.5207366666666666</v>
      </c>
      <c r="R8" s="39">
        <v>0.5043734230445752</v>
      </c>
      <c r="S8" s="39">
        <v>0.5594924038357028</v>
      </c>
      <c r="T8" s="39">
        <v>0.5303802967122311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s="27" customFormat="1" ht="15" customHeight="1">
      <c r="A9" s="60" t="s">
        <v>3</v>
      </c>
      <c r="B9" s="50">
        <f>482459/B14/1000000</f>
        <v>0.36869375032000756</v>
      </c>
      <c r="C9" s="50">
        <f>477782/C14/1000000</f>
        <v>0.36254739738376307</v>
      </c>
      <c r="D9" s="63">
        <f>570102/D14/1000000</f>
        <v>0.4301406761054335</v>
      </c>
      <c r="E9" s="50">
        <f>458380/E14/1000000</f>
        <v>0.3402590654344356</v>
      </c>
      <c r="F9" s="50">
        <f>458380/F14/1000000</f>
        <v>0.33954074074074075</v>
      </c>
      <c r="G9" s="50">
        <f>445377/G14/1000000</f>
        <v>0.33003919325185427</v>
      </c>
      <c r="H9" s="50">
        <f>790047/H14/1000000</f>
        <v>0.5864820224260353</v>
      </c>
      <c r="I9" s="50">
        <f>477771/I14/1000000</f>
        <v>0.35509519700506814</v>
      </c>
      <c r="J9" s="50">
        <f>(201226+334613)/J14/1000000</f>
        <v>0.40382224071118183</v>
      </c>
      <c r="K9" s="50">
        <f>481901/K14/1000000</f>
        <v>0.3716493593130016</v>
      </c>
      <c r="L9" s="50">
        <f>477606/L14/1000000</f>
        <v>0.3738683696146527</v>
      </c>
      <c r="M9" s="50">
        <f>404752/M14/1000000</f>
        <v>0.31894672059774937</v>
      </c>
      <c r="N9" s="39">
        <v>0.7657316354882905</v>
      </c>
      <c r="O9" s="39">
        <v>0.5973422764227643</v>
      </c>
      <c r="P9" s="39">
        <v>0.6451429745275267</v>
      </c>
      <c r="Q9" s="39">
        <v>0.6433508333333333</v>
      </c>
      <c r="R9" s="39">
        <v>0.671053826745164</v>
      </c>
      <c r="S9" s="39">
        <v>0.641929175489047</v>
      </c>
      <c r="T9" s="39">
        <v>0.5336839543150382</v>
      </c>
      <c r="U9" s="16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s="27" customFormat="1" ht="15" customHeight="1">
      <c r="A10" s="60" t="s">
        <v>8</v>
      </c>
      <c r="B10" s="50">
        <f>342.358/B14/1000</f>
        <v>0.26162897774123217</v>
      </c>
      <c r="C10" s="50">
        <f>335.776/C14/1000</f>
        <v>0.2547913376894283</v>
      </c>
      <c r="D10" s="63">
        <f>228.836/D14/1000</f>
        <v>0.17265624705274316</v>
      </c>
      <c r="E10" s="50">
        <f>201.102/E14/1000</f>
        <v>0.14927959024607504</v>
      </c>
      <c r="F10" s="50">
        <f>228015/F14/1000000</f>
        <v>0.1689</v>
      </c>
      <c r="G10" s="50">
        <f>219384/G14/1000000</f>
        <v>0.1625708520475121</v>
      </c>
      <c r="H10" s="50">
        <f>203300/H14/1000000</f>
        <v>0.1509173443595292</v>
      </c>
      <c r="I10" s="50">
        <f>177467/I14/1000000</f>
        <v>0.13189933948878943</v>
      </c>
      <c r="J10" s="50">
        <f>(114530+120897)/J14/1000000</f>
        <v>0.1774239252161776</v>
      </c>
      <c r="K10" s="50">
        <f>148445/K14/1000000</f>
        <v>0.11448303519440407</v>
      </c>
      <c r="L10" s="50">
        <f>143907/L14/1000000</f>
        <v>0.11264991534054393</v>
      </c>
      <c r="M10" s="50">
        <f>134189/M14/1000000</f>
        <v>0.10574164300680759</v>
      </c>
      <c r="N10" s="39">
        <v>0.10543428853122319</v>
      </c>
      <c r="O10" s="39">
        <v>0.10509756097560975</v>
      </c>
      <c r="P10" s="39">
        <v>0.1043114215283484</v>
      </c>
      <c r="Q10" s="39">
        <v>0.07489083333333334</v>
      </c>
      <c r="R10" s="39">
        <v>0.11742304457527333</v>
      </c>
      <c r="S10" s="39">
        <v>0.1324422904682904</v>
      </c>
      <c r="T10" s="39">
        <v>0.10634667360809442</v>
      </c>
      <c r="U10" s="16"/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s="27" customFormat="1" ht="15" customHeight="1">
      <c r="A11" s="60" t="s">
        <v>2</v>
      </c>
      <c r="B11" s="50">
        <f>19.219/B14/1000</f>
        <v>0.014687103333962524</v>
      </c>
      <c r="C11" s="50">
        <f>19.287/C14/1000</f>
        <v>0.014635234590965416</v>
      </c>
      <c r="D11" s="63">
        <f>19.389/D14/1000</f>
        <v>0.014628956869136138</v>
      </c>
      <c r="E11" s="50">
        <f>22.626/E14/1000</f>
        <v>0.016795457076049437</v>
      </c>
      <c r="F11" s="50">
        <f>22574/F14/1000000</f>
        <v>0.016721481481481483</v>
      </c>
      <c r="G11" s="50">
        <f>23645/G14/1000000</f>
        <v>0.01752173265444802</v>
      </c>
      <c r="H11" s="50">
        <f>13784/H14/1000000</f>
        <v>0.010232388955493117</v>
      </c>
      <c r="I11" s="50">
        <f>20542/I14/1000000</f>
        <v>0.015267493290463651</v>
      </c>
      <c r="J11" s="50">
        <f>(18340+18340)/J14/1000000</f>
        <v>0.027643004315262888</v>
      </c>
      <c r="K11" s="50">
        <f>20216/K14/1000000</f>
        <v>0.015590885779177962</v>
      </c>
      <c r="L11" s="50">
        <f>19820/L14/1000000</f>
        <v>0.015515029303992027</v>
      </c>
      <c r="M11" s="50">
        <f>19430/M14/1000000</f>
        <v>0.015310942950780402</v>
      </c>
      <c r="N11" s="39">
        <v>0.015244273294152294</v>
      </c>
      <c r="O11" s="39">
        <v>0.015183739837398375</v>
      </c>
      <c r="P11" s="39">
        <v>0.0025357436318816763</v>
      </c>
      <c r="Q11" s="39">
        <v>7.166666666666667E-05</v>
      </c>
      <c r="R11" s="39">
        <v>0.010654331370899916</v>
      </c>
      <c r="S11" s="39">
        <v>0.01047648015880706</v>
      </c>
      <c r="T11" s="39">
        <v>0.012692333046548696</v>
      </c>
      <c r="U11" s="16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s="27" customFormat="1" ht="15" customHeight="1">
      <c r="A12" s="60" t="s">
        <v>9</v>
      </c>
      <c r="B12" s="50">
        <f>1.576921/B14</f>
        <v>1.2050783951556021</v>
      </c>
      <c r="C12" s="50">
        <f>1.582974/C14</f>
        <v>1.201181927795867</v>
      </c>
      <c r="D12" s="63">
        <f>1.536414/D14</f>
        <v>1.1592209056236489</v>
      </c>
      <c r="E12" s="50">
        <f>1.519058/E14</f>
        <v>1.1276086553093567</v>
      </c>
      <c r="F12" s="50">
        <f>1489040/F14/1000000</f>
        <v>1.1029925925925925</v>
      </c>
      <c r="G12" s="50">
        <f>1540777/G14/1000000</f>
        <v>1.1417670828556756</v>
      </c>
      <c r="H12" s="50">
        <f>1690137/H14/1000000</f>
        <v>1.2546531610613951</v>
      </c>
      <c r="I12" s="50">
        <f>1688802/I14/1000000</f>
        <v>1.255173459445117</v>
      </c>
      <c r="J12" s="50">
        <f>(869498+970919)/J14/1000000</f>
        <v>1.3869862342661716</v>
      </c>
      <c r="K12" s="50">
        <f>1983274/K14/1000000</f>
        <v>1.529530985497299</v>
      </c>
      <c r="L12" s="50">
        <f>1943959/L14/1000000</f>
        <v>1.521724563610446</v>
      </c>
      <c r="M12" s="50">
        <f>1924532/M14/1000000</f>
        <v>1.5165414132244626</v>
      </c>
      <c r="N12" s="39">
        <v>1.5300892136903161</v>
      </c>
      <c r="O12" s="39">
        <v>1.4797138211382115</v>
      </c>
      <c r="P12" s="39">
        <v>1.3545414954806902</v>
      </c>
      <c r="Q12" s="39">
        <v>1.295745</v>
      </c>
      <c r="R12" s="39">
        <v>1.2590159798149705</v>
      </c>
      <c r="S12" s="39">
        <v>1.3620848144961997</v>
      </c>
      <c r="T12" s="39">
        <v>1.3310917367148003</v>
      </c>
      <c r="U12" s="14"/>
      <c r="V12" s="14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27" customFormat="1" ht="15" customHeight="1">
      <c r="A13" s="61" t="s">
        <v>11</v>
      </c>
      <c r="B13" s="53">
        <f>(361595)/B14/1000000</f>
        <v>0.27632983662231014</v>
      </c>
      <c r="C13" s="53">
        <f>(342188)/C14/1000000</f>
        <v>0.2596568493914696</v>
      </c>
      <c r="D13" s="57">
        <f>(241627)/D14/1000000</f>
        <v>0.18230702776928967</v>
      </c>
      <c r="E13" s="53">
        <f>360471/E14/1000000</f>
        <v>0.26758044761162453</v>
      </c>
      <c r="F13" s="50">
        <f>369037/F14/1000000</f>
        <v>0.27336074074074074</v>
      </c>
      <c r="G13" s="53">
        <f>369650/G14/1000000</f>
        <v>0.2739229636589854</v>
      </c>
      <c r="H13" s="53">
        <f>378278/H14/1000000</f>
        <v>0.28081018784866696</v>
      </c>
      <c r="I13" s="53">
        <f>330884/I14/1000000</f>
        <v>0.2459239241515809</v>
      </c>
      <c r="J13" s="53">
        <f>(185974+174025)/J14/1000000</f>
        <v>0.2713046322380132</v>
      </c>
      <c r="K13" s="53">
        <f>369875/K14/1000000</f>
        <v>0.28525320921910613</v>
      </c>
      <c r="L13" s="53">
        <f>362673/L14/1000000</f>
        <v>0.2838992039741019</v>
      </c>
      <c r="M13" s="53">
        <v>0.28</v>
      </c>
      <c r="N13" s="55" t="s">
        <v>10</v>
      </c>
      <c r="O13" s="55" t="s">
        <v>10</v>
      </c>
      <c r="P13" s="55" t="s">
        <v>10</v>
      </c>
      <c r="Q13" s="55" t="s">
        <v>10</v>
      </c>
      <c r="R13" s="55" t="s">
        <v>10</v>
      </c>
      <c r="S13" s="55" t="s">
        <v>10</v>
      </c>
      <c r="T13" s="55" t="s">
        <v>10</v>
      </c>
      <c r="U13" s="14"/>
      <c r="V13" s="14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27" customFormat="1" ht="13.5" customHeight="1">
      <c r="A14" s="62" t="s">
        <v>5</v>
      </c>
      <c r="B14" s="66">
        <v>1.308563</v>
      </c>
      <c r="C14" s="48">
        <v>1.317847</v>
      </c>
      <c r="D14" s="58">
        <v>1.325385</v>
      </c>
      <c r="E14" s="48">
        <v>1.34715</v>
      </c>
      <c r="F14" s="54">
        <v>1.35</v>
      </c>
      <c r="G14" s="48">
        <v>1.349467</v>
      </c>
      <c r="H14" s="48">
        <v>1.347095</v>
      </c>
      <c r="I14" s="48">
        <v>1.345473</v>
      </c>
      <c r="J14" s="48">
        <v>1.326918</v>
      </c>
      <c r="K14" s="48">
        <v>1.296655</v>
      </c>
      <c r="L14" s="48">
        <v>1.277471</v>
      </c>
      <c r="M14" s="48">
        <v>1.269027</v>
      </c>
      <c r="N14" s="41">
        <v>1.249584</v>
      </c>
      <c r="O14" s="41">
        <v>1.23</v>
      </c>
      <c r="P14" s="41">
        <v>1.217</v>
      </c>
      <c r="Q14" s="41">
        <v>1.2</v>
      </c>
      <c r="R14" s="41">
        <v>1.189</v>
      </c>
      <c r="S14" s="41">
        <v>1.186849</v>
      </c>
      <c r="T14" s="41">
        <v>1.183234</v>
      </c>
      <c r="U14" s="14"/>
      <c r="V14" s="14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3" s="36" customFormat="1" ht="13.5" customHeight="1">
      <c r="A15" s="68" t="s">
        <v>26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5"/>
      <c r="O15" s="45"/>
      <c r="P15" s="45"/>
      <c r="Q15" s="45"/>
      <c r="R15" s="45"/>
      <c r="S15" s="45"/>
      <c r="T15" s="45"/>
      <c r="U15" s="35"/>
      <c r="V15" s="35"/>
      <c r="W15" s="35"/>
    </row>
    <row r="16" spans="1:21" s="10" customFormat="1" ht="15" customHeight="1">
      <c r="A16" s="65" t="s">
        <v>17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16"/>
    </row>
    <row r="17" spans="1:41" ht="12.7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1"/>
      <c r="P17" s="21"/>
      <c r="Q17" s="19"/>
      <c r="R17" s="19"/>
      <c r="S17" s="19"/>
      <c r="T17" s="19"/>
      <c r="U17" s="16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</sheetData>
  <mergeCells count="2">
    <mergeCell ref="A4:T4"/>
    <mergeCell ref="A16:T1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0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7.421875" style="26" customWidth="1"/>
    <col min="2" max="2" width="10.7109375" style="26" customWidth="1"/>
    <col min="3" max="3" width="9.140625" style="26" customWidth="1"/>
    <col min="4" max="4" width="8.140625" style="26" customWidth="1"/>
    <col min="5" max="5" width="9.8515625" style="26" customWidth="1"/>
    <col min="6" max="6" width="7.140625" style="26" customWidth="1"/>
    <col min="7" max="14" width="9.00390625" style="26" customWidth="1"/>
    <col min="15" max="15" width="9.00390625" style="28" customWidth="1"/>
    <col min="16" max="20" width="9.00390625" style="26" customWidth="1"/>
    <col min="21" max="21" width="7.8515625" style="26" customWidth="1"/>
    <col min="22" max="22" width="3.57421875" style="26" customWidth="1"/>
    <col min="23" max="16384" width="0" style="26" hidden="1" customWidth="1"/>
  </cols>
  <sheetData>
    <row r="1" spans="1:46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3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.75">
      <c r="A2" s="4" t="s">
        <v>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4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ht="15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2" ht="24" customHeight="1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22"/>
      <c r="V4" s="22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15.75" customHeight="1">
      <c r="A5" s="11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20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3" ht="36" customHeight="1">
      <c r="A6" s="13"/>
      <c r="B6" s="30" t="s">
        <v>25</v>
      </c>
      <c r="C6" s="30">
        <v>2015</v>
      </c>
      <c r="D6" s="30">
        <v>2014</v>
      </c>
      <c r="E6" s="30">
        <v>2013</v>
      </c>
      <c r="F6" s="30">
        <v>2012</v>
      </c>
      <c r="G6" s="47">
        <v>2011</v>
      </c>
      <c r="H6" s="47">
        <v>2010</v>
      </c>
      <c r="I6" s="47">
        <v>2009</v>
      </c>
      <c r="J6" s="47">
        <v>2008</v>
      </c>
      <c r="K6" s="47">
        <v>2007</v>
      </c>
      <c r="L6" s="47">
        <v>2006</v>
      </c>
      <c r="M6" s="47">
        <v>2005</v>
      </c>
      <c r="N6" s="29">
        <v>2004</v>
      </c>
      <c r="O6" s="29">
        <v>2003</v>
      </c>
      <c r="P6" s="29">
        <v>2002</v>
      </c>
      <c r="Q6" s="29">
        <v>2001</v>
      </c>
      <c r="R6" s="30">
        <v>2000</v>
      </c>
      <c r="S6" s="29">
        <v>1999</v>
      </c>
      <c r="T6" s="30">
        <v>1998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32" customFormat="1" ht="15" customHeight="1">
      <c r="A7" s="15" t="s">
        <v>6</v>
      </c>
      <c r="B7" s="51">
        <f>85875/B14/1000</f>
        <v>1.8445128604484204</v>
      </c>
      <c r="C7" s="51">
        <f>83967/C14/1000</f>
        <v>1.8009246749908663</v>
      </c>
      <c r="D7" s="51">
        <f>83525/D14/1000</f>
        <v>1.772233918412058</v>
      </c>
      <c r="E7" s="51">
        <f>85855/E14/1000</f>
        <v>1.8216718714788056</v>
      </c>
      <c r="F7" s="51">
        <f>88995/F14/1000</f>
        <v>1.882881531683663</v>
      </c>
      <c r="G7" s="51">
        <f>93277/G14/1000</f>
        <v>1.9766057540445703</v>
      </c>
      <c r="H7" s="51">
        <f>96042/H14/1000</f>
        <v>2.0351980641524556</v>
      </c>
      <c r="I7" s="51">
        <f>94771/I14/1000</f>
        <v>2.0273690001757805</v>
      </c>
      <c r="J7" s="51">
        <f>101974/J14/1000</f>
        <v>2.209246354821508</v>
      </c>
      <c r="K7" s="51">
        <f>105737/K14/1000</f>
        <v>2.339276016672029</v>
      </c>
      <c r="L7" s="51">
        <f>103119/L14/1000</f>
        <v>2.3064502232706623</v>
      </c>
      <c r="M7" s="51">
        <f>105849/M14/1000</f>
        <v>2.399739914252413</v>
      </c>
      <c r="N7" s="51">
        <f>103151/N14/1000</f>
        <v>2.3878826466715206</v>
      </c>
      <c r="O7" s="51">
        <f>99470/O14/1000</f>
        <v>2.3285776382009775</v>
      </c>
      <c r="P7" s="51">
        <f>94305/P14/1000</f>
        <v>2.250832346130351</v>
      </c>
      <c r="Q7" s="51">
        <f>93127/Q14/1000</f>
        <v>2.321394091788182</v>
      </c>
      <c r="R7" s="51">
        <f>88885/R14/1000</f>
        <v>2.1947026837743433</v>
      </c>
      <c r="S7" s="51">
        <f>83301/S14/1000</f>
        <v>2.0720528449217652</v>
      </c>
      <c r="T7" s="51">
        <f>81080/T14/1000</f>
        <v>2.0344945183194962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27" customFormat="1" ht="15" customHeight="1">
      <c r="A8" s="17" t="s">
        <v>2</v>
      </c>
      <c r="B8" s="50">
        <f>1340/B14/1000</f>
        <v>0.028781918288219896</v>
      </c>
      <c r="C8" s="50">
        <f>1204/C14/1000</f>
        <v>0.025823398581454656</v>
      </c>
      <c r="D8" s="50">
        <f>1315/D14/1000</f>
        <v>0.027901677374580738</v>
      </c>
      <c r="E8" s="50">
        <f>1523/E14/1000</f>
        <v>0.032315022541054346</v>
      </c>
      <c r="F8" s="50">
        <f>1233/F14/1000</f>
        <v>0.02608677935351375</v>
      </c>
      <c r="G8" s="50">
        <f>1.609/G14</f>
        <v>0.034095850619742414</v>
      </c>
      <c r="H8" s="50">
        <f>1.338/H14</f>
        <v>0.028353168507902645</v>
      </c>
      <c r="I8" s="50">
        <f>1.136/I14</f>
        <v>0.02430164485126976</v>
      </c>
      <c r="J8" s="50">
        <f>1.65/J14</f>
        <v>0.03574692064109957</v>
      </c>
      <c r="K8" s="50">
        <f>1.821/K14</f>
        <v>0.04028695372821023</v>
      </c>
      <c r="L8" s="50">
        <f>1.687/L14</f>
        <v>0.03773292532566847</v>
      </c>
      <c r="M8" s="50">
        <f>1.833/M14</f>
        <v>0.04155658780739235</v>
      </c>
      <c r="N8" s="50">
        <f>1.931/N14</f>
        <v>0.044701470569579606</v>
      </c>
      <c r="O8" s="50">
        <f>1.93/O14</f>
        <v>0.045181007758398374</v>
      </c>
      <c r="P8" s="50">
        <f>1.924/P14</f>
        <v>0.04592122829070352</v>
      </c>
      <c r="Q8" s="50">
        <f>1.915/Q14</f>
        <v>0.047735562036513246</v>
      </c>
      <c r="R8" s="50">
        <f>1.723/R14</f>
        <v>0.04254342942164813</v>
      </c>
      <c r="S8" s="50">
        <f>1.702/S14</f>
        <v>0.04233603368575221</v>
      </c>
      <c r="T8" s="50">
        <f>1.767/T14</f>
        <v>0.04433833021547299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</row>
    <row r="9" spans="1:43" s="27" customFormat="1" ht="15" customHeight="1">
      <c r="A9" s="31" t="s">
        <v>4</v>
      </c>
      <c r="B9" s="50">
        <f>20115/B14/1000</f>
        <v>0.43205095997577847</v>
      </c>
      <c r="C9" s="50">
        <f>19999/C14/1000</f>
        <v>0.428938661321023</v>
      </c>
      <c r="D9" s="50">
        <f>19576/D14/1000</f>
        <v>0.4153636777831122</v>
      </c>
      <c r="E9" s="50">
        <f>19953/E14/1000</f>
        <v>0.4233628658973456</v>
      </c>
      <c r="F9" s="50">
        <f>20661/F14/1000</f>
        <v>0.43712810074853825</v>
      </c>
      <c r="G9" s="50">
        <f>20.942/G14</f>
        <v>0.44377582577914587</v>
      </c>
      <c r="H9" s="50">
        <f>21.053/H14</f>
        <v>0.44612799446702117</v>
      </c>
      <c r="I9" s="50">
        <f>20.621/I14</f>
        <v>0.44113047401235367</v>
      </c>
      <c r="J9" s="50">
        <f>21.938/J14</f>
        <v>0.47528239092390445</v>
      </c>
      <c r="K9" s="50">
        <f>21.568/K14</f>
        <v>0.47716036134543566</v>
      </c>
      <c r="L9" s="50">
        <f>21.167/L14</f>
        <v>0.473439733472688</v>
      </c>
      <c r="M9" s="50">
        <f>20.831/M14</f>
        <v>0.47226692886840704</v>
      </c>
      <c r="N9" s="50">
        <f>19.838/N14</f>
        <v>0.4592375832000623</v>
      </c>
      <c r="O9" s="50">
        <f>18.739/O14</f>
        <v>0.4386771525308949</v>
      </c>
      <c r="P9" s="50">
        <f>17.674/P14</f>
        <v>0.4218356490695915</v>
      </c>
      <c r="Q9" s="50">
        <f>17.282/Q14</f>
        <v>0.43079163609139526</v>
      </c>
      <c r="R9" s="50">
        <f>16.207/R14</f>
        <v>0.40017490460629784</v>
      </c>
      <c r="S9" s="50">
        <f>15.244/S14</f>
        <v>0.37918360605499807</v>
      </c>
      <c r="T9" s="50">
        <f>14.205/T14</f>
        <v>0.35643801964391275</v>
      </c>
      <c r="U9" s="14"/>
      <c r="V9" s="14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32" customFormat="1" ht="15" customHeight="1">
      <c r="A10" s="17" t="s">
        <v>19</v>
      </c>
      <c r="B10" s="50">
        <f>5385/B14/1000</f>
        <v>0.11566464924034636</v>
      </c>
      <c r="C10" s="50">
        <f>5302/C14/1000</f>
        <v>0.11371732498245232</v>
      </c>
      <c r="D10" s="50">
        <f>5294/D14/1000</f>
        <v>0.11232812168899652</v>
      </c>
      <c r="E10" s="50">
        <f>5293/E14/1000</f>
        <v>0.11230690368338848</v>
      </c>
      <c r="F10" s="50">
        <f>6297/F14/1000</f>
        <v>0.1332266420024948</v>
      </c>
      <c r="G10" s="50">
        <f>5.815/G14</f>
        <v>0.12322397225220769</v>
      </c>
      <c r="H10" s="50">
        <f>5.367/H14</f>
        <v>0.11373053466510724</v>
      </c>
      <c r="I10" s="50">
        <f>5.005/I14</f>
        <v>0.10706842647940595</v>
      </c>
      <c r="J10" s="50">
        <f>5.005/J14</f>
        <v>0.1084323259446687</v>
      </c>
      <c r="K10" s="50">
        <f>4.279/K14</f>
        <v>0.09466659802471805</v>
      </c>
      <c r="L10" s="50">
        <f>4.005/L14</f>
        <v>0.08957935146965158</v>
      </c>
      <c r="M10" s="50">
        <f>3.79/M14</f>
        <v>0.08592442323514295</v>
      </c>
      <c r="N10" s="50">
        <f>3.685/N14</f>
        <v>0.08530549924852453</v>
      </c>
      <c r="O10" s="50">
        <f>3.654/O14</f>
        <v>0.08553958670942366</v>
      </c>
      <c r="P10" s="50">
        <f>3.593/P14</f>
        <v>0.08575622310212981</v>
      </c>
      <c r="Q10" s="50">
        <f>3.486/Q14</f>
        <v>0.08689617193696354</v>
      </c>
      <c r="R10" s="50">
        <f>3.469/R14</f>
        <v>0.08565476300853009</v>
      </c>
      <c r="S10" s="50">
        <f>3.529/S14</f>
        <v>0.08778135304172711</v>
      </c>
      <c r="T10" s="50">
        <f>3.509/T14</f>
        <v>0.0880493495903196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27" customFormat="1" ht="15" customHeight="1">
      <c r="A11" s="17" t="s">
        <v>3</v>
      </c>
      <c r="B11" s="50">
        <f>13891/B14/1000</f>
        <v>0.2983653932400467</v>
      </c>
      <c r="C11" s="50">
        <f>14344/C14/1000</f>
        <v>0.3076501904089582</v>
      </c>
      <c r="D11" s="50">
        <f>14695/D14/1000</f>
        <v>0.3117985924102388</v>
      </c>
      <c r="E11" s="50">
        <f>15254/E14/1000</f>
        <v>0.32365945754513653</v>
      </c>
      <c r="F11" s="50">
        <f>14987/F14/1000</f>
        <v>0.31708236996845957</v>
      </c>
      <c r="G11" s="50">
        <f>14.486/G14</f>
        <v>0.30696860912218066</v>
      </c>
      <c r="H11" s="50">
        <f>14.848/H14</f>
        <v>0.3146396457439002</v>
      </c>
      <c r="I11" s="50">
        <f>13.418/I14</f>
        <v>0.28704178751262116</v>
      </c>
      <c r="J11" s="50">
        <f>13.418/J14</f>
        <v>0.2906982916134994</v>
      </c>
      <c r="K11" s="50">
        <f>16.222/K14</f>
        <v>0.35888795353049224</v>
      </c>
      <c r="L11" s="50">
        <f>15.635/L14</f>
        <v>0.34970615736030025</v>
      </c>
      <c r="M11" s="50">
        <f>18.171/M14</f>
        <v>0.4119611331413674</v>
      </c>
      <c r="N11" s="50">
        <f>16.847/N14</f>
        <v>0.3899977600650998</v>
      </c>
      <c r="O11" s="50">
        <f>15.824/O14</f>
        <v>0.37043744392170774</v>
      </c>
      <c r="P11" s="50">
        <f>14.172/P14</f>
        <v>0.33825137595418414</v>
      </c>
      <c r="Q11" s="50">
        <f>13.4511/Q14</f>
        <v>0.33529807755057095</v>
      </c>
      <c r="R11" s="50">
        <f>12.377/R14</f>
        <v>0.30560651535214095</v>
      </c>
      <c r="S11" s="50">
        <f>10.091/S14</f>
        <v>0.25100641358573766</v>
      </c>
      <c r="T11" s="50">
        <f>9.236/T14</f>
        <v>0.2317537169610122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</row>
    <row r="12" spans="1:43" s="27" customFormat="1" ht="15" customHeight="1">
      <c r="A12" s="17" t="s">
        <v>16</v>
      </c>
      <c r="B12" s="50" t="s">
        <v>24</v>
      </c>
      <c r="C12" s="50">
        <f>0.239/C14</f>
        <v>0.005126073306451547</v>
      </c>
      <c r="D12" s="50">
        <f>0.232/D14</f>
        <v>0.004922577301066716</v>
      </c>
      <c r="E12" s="50">
        <f>0.23/E14</f>
        <v>0.004880141289850624</v>
      </c>
      <c r="F12" s="50">
        <f>0.274/F14</f>
        <v>0.005797062078558612</v>
      </c>
      <c r="G12" s="50">
        <f>0.306/G14</f>
        <v>0.006484356923331994</v>
      </c>
      <c r="H12" s="50">
        <f>0.265/H14</f>
        <v>0.005615537858441107</v>
      </c>
      <c r="I12" s="50">
        <f>0.214/I14</f>
        <v>0.004577950702615958</v>
      </c>
      <c r="J12" s="50">
        <f>0.283/J14</f>
        <v>0.0061311385099582895</v>
      </c>
      <c r="K12" s="50">
        <f>0.291/K14</f>
        <v>0.006437948124606906</v>
      </c>
      <c r="L12" s="50">
        <f>0.271/L14</f>
        <v>0.006061424281716749</v>
      </c>
      <c r="M12" s="50">
        <f>0.284/M14</f>
        <v>0.00643866390469145</v>
      </c>
      <c r="N12" s="50">
        <f>0.346/N14</f>
        <v>0.00800968866756838</v>
      </c>
      <c r="O12" s="50">
        <f>0.327/O14</f>
        <v>0.007655020485490295</v>
      </c>
      <c r="P12" s="50">
        <f>0.325/P14</f>
        <v>0.007756964238294514</v>
      </c>
      <c r="Q12" s="50">
        <f>0.361/Q14</f>
        <v>0.008998714305577693</v>
      </c>
      <c r="R12" s="50">
        <f>0.236/R14</f>
        <v>0.0058271905650081005</v>
      </c>
      <c r="S12" s="50">
        <f>0.225/S14</f>
        <v>0.00559671420640085</v>
      </c>
      <c r="T12" s="50">
        <f>0.379/T14</f>
        <v>0.009510032343896017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</row>
    <row r="13" spans="1:43" s="27" customFormat="1" ht="15" customHeight="1">
      <c r="A13" s="52" t="s">
        <v>15</v>
      </c>
      <c r="B13" s="53">
        <f>45.144/B14</f>
        <v>0.969649939704029</v>
      </c>
      <c r="C13" s="53">
        <f>42.879/C14</f>
        <v>0.9196690263905267</v>
      </c>
      <c r="D13" s="53">
        <f>42.413/D14</f>
        <v>0.899919271854063</v>
      </c>
      <c r="E13" s="53">
        <f>43.603/E14</f>
        <v>0.9251686985276381</v>
      </c>
      <c r="F13" s="53">
        <f>455343/F14/1000</f>
        <v>9.633765102325233</v>
      </c>
      <c r="G13" s="53">
        <f>50.119/G14</f>
        <v>1.0620571393479616</v>
      </c>
      <c r="H13" s="53">
        <f>53.171/H14</f>
        <v>1.1267311829100832</v>
      </c>
      <c r="I13" s="53">
        <f>54.317/I14</f>
        <v>1.1619651790373413</v>
      </c>
      <c r="J13" s="53">
        <f>58.727/J14</f>
        <v>1.2723087324180935</v>
      </c>
      <c r="K13" s="53">
        <f>61.708/K14</f>
        <v>1.3651989789458523</v>
      </c>
      <c r="L13" s="53">
        <f>60.483/L14</f>
        <v>1.3528159587862514</v>
      </c>
      <c r="M13" s="53">
        <f>61.07/M14</f>
        <v>1.3845394530264328</v>
      </c>
      <c r="N13" s="53">
        <f>60.627/N14</f>
        <v>1.403478019793839</v>
      </c>
      <c r="O13" s="53">
        <f>59.08/O14</f>
        <v>1.3830538540757389</v>
      </c>
      <c r="P13" s="53">
        <f>56.656/P14</f>
        <v>1.3522417411840428</v>
      </c>
      <c r="Q13" s="53">
        <f>56.611/Q14</f>
        <v>1.4111529516705228</v>
      </c>
      <c r="R13" s="53">
        <f>54.893/R14</f>
        <v>1.3553897105296173</v>
      </c>
      <c r="S13" s="53">
        <f>52.506/S14</f>
        <v>1.3060492272057025</v>
      </c>
      <c r="T13" s="53">
        <f>51.954/T14</f>
        <v>1.3036522965561312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</row>
    <row r="14" spans="1:43" s="27" customFormat="1" ht="13.5" customHeight="1">
      <c r="A14" s="40" t="s">
        <v>5</v>
      </c>
      <c r="B14" s="67">
        <v>46.557008</v>
      </c>
      <c r="C14" s="48">
        <v>46.624382</v>
      </c>
      <c r="D14" s="48">
        <v>47.129783</v>
      </c>
      <c r="E14" s="48">
        <v>47.129783</v>
      </c>
      <c r="F14" s="48">
        <v>47.265321</v>
      </c>
      <c r="G14" s="48">
        <v>47.190493</v>
      </c>
      <c r="H14" s="48">
        <v>47.190493</v>
      </c>
      <c r="I14" s="48">
        <v>46.745807</v>
      </c>
      <c r="J14" s="48">
        <v>46.157822</v>
      </c>
      <c r="K14" s="48">
        <v>45.200737</v>
      </c>
      <c r="L14" s="48">
        <v>44.708964</v>
      </c>
      <c r="M14" s="48">
        <v>44.10853</v>
      </c>
      <c r="N14" s="41">
        <v>43.197684</v>
      </c>
      <c r="O14" s="41">
        <v>42.717064</v>
      </c>
      <c r="P14" s="41">
        <v>41.897834</v>
      </c>
      <c r="Q14" s="41">
        <v>40.116842</v>
      </c>
      <c r="R14" s="41">
        <v>40.499791</v>
      </c>
      <c r="S14" s="41">
        <v>40.20216</v>
      </c>
      <c r="T14" s="41">
        <v>39.852651</v>
      </c>
      <c r="U14" s="14"/>
      <c r="V14" s="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33" customFormat="1" ht="16.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2"/>
      <c r="O15" s="42"/>
      <c r="P15" s="42"/>
      <c r="Q15" s="42"/>
      <c r="R15" s="42"/>
      <c r="S15" s="42"/>
      <c r="T15" s="42"/>
      <c r="U15" s="43"/>
      <c r="V15" s="43"/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</row>
    <row r="16" spans="1:43" s="33" customFormat="1" ht="11.25" customHeight="1">
      <c r="A16" s="68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2"/>
      <c r="O16" s="42"/>
      <c r="P16" s="42"/>
      <c r="Q16" s="42"/>
      <c r="R16" s="42"/>
      <c r="S16" s="42"/>
      <c r="T16" s="42"/>
      <c r="U16" s="43"/>
      <c r="V16" s="43"/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</row>
    <row r="17" spans="1:22" s="10" customFormat="1" ht="15" customHeight="1">
      <c r="A17" s="65" t="s">
        <v>22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16"/>
      <c r="V17" s="16"/>
    </row>
    <row r="18" spans="1:42" s="33" customFormat="1" ht="14.25" customHeight="1">
      <c r="A18" s="33" t="s">
        <v>18</v>
      </c>
      <c r="O18" s="34"/>
      <c r="P18" s="21"/>
      <c r="Q18" s="21"/>
      <c r="R18" s="19"/>
      <c r="S18" s="21"/>
      <c r="T18" s="19"/>
      <c r="U18" s="19"/>
      <c r="V18" s="35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2" ht="15.75" customHeight="1">
      <c r="A19" s="18" t="s">
        <v>20</v>
      </c>
      <c r="B19" s="18"/>
    </row>
    <row r="20" spans="1:42" ht="12" customHeight="1">
      <c r="A20" s="18"/>
      <c r="B20" s="18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6"/>
      <c r="O20" s="16"/>
      <c r="P20" s="16"/>
      <c r="Q20" s="16"/>
      <c r="R20" s="16"/>
      <c r="S20" s="16"/>
      <c r="T20" s="16"/>
      <c r="U20" s="16"/>
      <c r="V20" s="16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</sheetData>
  <mergeCells count="2">
    <mergeCell ref="A4:T4"/>
    <mergeCell ref="A17:T1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Guiral</dc:creator>
  <cp:keywords/>
  <dc:description/>
  <cp:lastModifiedBy>DGA</cp:lastModifiedBy>
  <dcterms:created xsi:type="dcterms:W3CDTF">2004-10-01T11:02:29Z</dcterms:created>
  <dcterms:modified xsi:type="dcterms:W3CDTF">2017-09-29T11:16:26Z</dcterms:modified>
  <cp:category/>
  <cp:version/>
  <cp:contentType/>
  <cp:contentStatus/>
</cp:coreProperties>
</file>