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230" windowWidth="15360" windowHeight="9000" activeTab="1"/>
  </bookViews>
  <sheets>
    <sheet name="Aragón" sheetId="1" r:id="rId1"/>
    <sheet name="España" sheetId="2" r:id="rId2"/>
  </sheets>
  <definedNames/>
  <calcPr fullCalcOnLoad="1"/>
</workbook>
</file>

<file path=xl/sharedStrings.xml><?xml version="1.0" encoding="utf-8"?>
<sst xmlns="http://schemas.openxmlformats.org/spreadsheetml/2006/main" count="157" uniqueCount="57">
  <si>
    <t>Información estadística de Aragón</t>
  </si>
  <si>
    <t>Gas natural</t>
  </si>
  <si>
    <t>Carbón</t>
  </si>
  <si>
    <t>Renovables (eólica, biomasa y otras)</t>
  </si>
  <si>
    <t>Electricidad</t>
  </si>
  <si>
    <t>Productos del petróleo</t>
  </si>
  <si>
    <t>Unidad: toneladas equivalentes de petróleo.</t>
  </si>
  <si>
    <r>
      <t xml:space="preserve">Fuente: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según datos de La Energía en España (Anexo Estadístico). Mº de Industria, Turismo y Comercio.</t>
    </r>
  </si>
  <si>
    <t>-</t>
  </si>
  <si>
    <t>Gas natural+calor</t>
  </si>
  <si>
    <t>Gas natural+ otros gases</t>
  </si>
  <si>
    <t>(P): Datos provisionales . IDAE,Ministerio de Industria, Energía y Consumo.</t>
  </si>
  <si>
    <t xml:space="preserve">Medio Ambiente y Energía </t>
  </si>
  <si>
    <t>Energía / Indicadores principales de la energía /  Indicadores de consumo de la energía</t>
  </si>
  <si>
    <r>
      <t xml:space="preserve">Fuente: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según datos del Boletín de Coyuntura Energética de Aragón. Departamento de Economia,Industria y Empleo.</t>
    </r>
  </si>
  <si>
    <t>Consumo total de  energía final (EF)</t>
  </si>
  <si>
    <t xml:space="preserve"> Consumo EF del Transporte</t>
  </si>
  <si>
    <t>Consumo de EF en Usos diversos (Residencial, Comercial y servicios + Agricultura)</t>
  </si>
  <si>
    <t>Años</t>
  </si>
  <si>
    <t>(A): Avance de datos IDAE. Ministerio de Industria, Energía y Turismo.</t>
  </si>
  <si>
    <t>Energía eléctrica</t>
  </si>
  <si>
    <t>Energías Renovables ( solar térmica, geotérmica,biomasa,biogás y biocarburantes)</t>
  </si>
  <si>
    <t>Energías Renovables ( solar térmica,geotérmica,biomasa,biogás y biocarburantes)</t>
  </si>
  <si>
    <t>Carbones</t>
  </si>
  <si>
    <t>Consumo de energía final (EF)</t>
  </si>
  <si>
    <t>Territorio</t>
  </si>
  <si>
    <t>Aragón (Comunidad Autónoma de)</t>
  </si>
  <si>
    <t xml:space="preserve">Consumo de Carbón en el transporte </t>
  </si>
  <si>
    <t xml:space="preserve">Consumo de Productos del petróleo en el transporte </t>
  </si>
  <si>
    <t>ConsuGas natural+calor</t>
  </si>
  <si>
    <t>Industria (no incluye consumo de las industria energéticas)</t>
  </si>
  <si>
    <t xml:space="preserve">Tipo de energía final consumida </t>
  </si>
  <si>
    <t xml:space="preserve"> Consumo EF total en  la Industria (no incluye consumo de las industrias energéticas)</t>
  </si>
  <si>
    <t xml:space="preserve"> Productos del petróleo</t>
  </si>
  <si>
    <t xml:space="preserve">Electricidad </t>
  </si>
  <si>
    <t xml:space="preserve">Transporte </t>
  </si>
  <si>
    <t>Residencial, Comercial y servicios + Agricultura</t>
  </si>
  <si>
    <t xml:space="preserve">Sector económico </t>
  </si>
  <si>
    <t xml:space="preserve">Gas natural </t>
  </si>
  <si>
    <t>2015 (A)</t>
  </si>
  <si>
    <t xml:space="preserve">Territorio </t>
  </si>
  <si>
    <t xml:space="preserve">España </t>
  </si>
  <si>
    <t>Sector económico</t>
  </si>
  <si>
    <t>Transporte</t>
  </si>
  <si>
    <t>(Residencial, Comercial y Servicios + Agricultura</t>
  </si>
  <si>
    <t>Unidad:Miles de toneladas equivalentes de petróleo.</t>
  </si>
  <si>
    <t xml:space="preserve">Consumo total EF </t>
  </si>
  <si>
    <t>Consumo total  EF</t>
  </si>
  <si>
    <t>Todos los sectores</t>
  </si>
  <si>
    <t>Los datos del año 2016 son los últimos disponibles.</t>
  </si>
  <si>
    <t>Publicación: Instituto Aragonés de Estadística (IAEST), 26 de septiembre de 2017.</t>
  </si>
  <si>
    <t>2014 (P)</t>
  </si>
  <si>
    <t>2016 (AP)</t>
  </si>
  <si>
    <t>Consumo de  energía final  por sectores económicos. España. Años 1990 y  2000-2016.</t>
  </si>
  <si>
    <t>(AP):avance de datos provisional.Datos del informe estadistico anual 2016 de CORES.</t>
  </si>
  <si>
    <t>Consumo de energía final por sectores económicos. Comunidad Autónoma de Aragón. Años 2000-2016.</t>
  </si>
  <si>
    <t>Publicación: Instituto Aragonés de Estadística (IAEST), 26 de septiembre  de  2017.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</si>
</sst>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>
        <color indexed="9"/>
      </right>
      <top style="hair"/>
      <bottom style="thin"/>
    </border>
    <border>
      <left style="thick">
        <color indexed="9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2" borderId="0" xfId="0" applyFont="1" applyFill="1" applyAlignment="1">
      <alignment horizontal="left" indent="5"/>
    </xf>
    <xf numFmtId="0" fontId="2" fillId="2" borderId="0" xfId="0" applyFont="1" applyFill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6" fillId="3" borderId="0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wrapText="1"/>
    </xf>
    <xf numFmtId="3" fontId="8" fillId="3" borderId="1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3" fontId="2" fillId="2" borderId="0" xfId="0" applyNumberFormat="1" applyFont="1" applyFill="1" applyAlignment="1">
      <alignment horizontal="left" indent="4"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8" fillId="3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 wrapText="1"/>
    </xf>
    <xf numFmtId="0" fontId="0" fillId="3" borderId="0" xfId="0" applyFill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0" fontId="6" fillId="3" borderId="2" xfId="0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4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3" fontId="7" fillId="3" borderId="3" xfId="0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3" fontId="6" fillId="3" borderId="0" xfId="0" applyNumberFormat="1" applyFont="1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3" fontId="10" fillId="4" borderId="0" xfId="0" applyNumberFormat="1" applyFont="1" applyFill="1" applyBorder="1" applyAlignment="1">
      <alignment/>
    </xf>
    <xf numFmtId="4" fontId="1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Alignment="1">
      <alignment/>
    </xf>
    <xf numFmtId="3" fontId="8" fillId="3" borderId="1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3" fontId="10" fillId="3" borderId="0" xfId="0" applyNumberFormat="1" applyFont="1" applyFill="1" applyAlignment="1">
      <alignment horizontal="center"/>
    </xf>
    <xf numFmtId="3" fontId="10" fillId="3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3" fontId="8" fillId="3" borderId="0" xfId="0" applyNumberFormat="1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/>
    </xf>
    <xf numFmtId="0" fontId="6" fillId="3" borderId="6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8" fillId="3" borderId="1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3" fontId="7" fillId="3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0" fillId="3" borderId="8" xfId="0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9" fillId="4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0" fillId="3" borderId="0" xfId="0" applyFont="1" applyFill="1" applyBorder="1" applyAlignment="1">
      <alignment horizontal="left" wrapText="1"/>
    </xf>
    <xf numFmtId="0" fontId="9" fillId="4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381000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workbookViewId="0" topLeftCell="A1">
      <selection activeCell="A4" sqref="A4:T4"/>
    </sheetView>
  </sheetViews>
  <sheetFormatPr defaultColWidth="11.421875" defaultRowHeight="12.75"/>
  <cols>
    <col min="1" max="1" width="26.8515625" style="29" customWidth="1"/>
    <col min="2" max="2" width="42.00390625" style="29" customWidth="1"/>
    <col min="3" max="3" width="58.7109375" style="29" customWidth="1"/>
    <col min="4" max="4" width="14.00390625" style="29" customWidth="1"/>
    <col min="5" max="5" width="11.57421875" style="29" customWidth="1"/>
    <col min="6" max="6" width="14.140625" style="29" customWidth="1"/>
    <col min="7" max="7" width="10.8515625" style="29" customWidth="1"/>
    <col min="8" max="8" width="10.7109375" style="29" customWidth="1"/>
    <col min="9" max="16" width="10.00390625" style="29" customWidth="1"/>
    <col min="17" max="17" width="10.00390625" style="32" customWidth="1"/>
    <col min="18" max="20" width="10.00390625" style="29" customWidth="1"/>
    <col min="21" max="21" width="3.57421875" style="29" customWidth="1"/>
    <col min="22" max="16384" width="0" style="29" hidden="1" customWidth="1"/>
  </cols>
  <sheetData>
    <row r="1" spans="1:45" ht="26.25" customHeight="1">
      <c r="A1" s="1" t="s">
        <v>0</v>
      </c>
      <c r="B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21" customHeight="1">
      <c r="A2" s="4" t="s">
        <v>12</v>
      </c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5"/>
      <c r="R2" s="5"/>
      <c r="S2" s="5"/>
      <c r="T2" s="5"/>
      <c r="U2" s="5"/>
      <c r="V2" s="5"/>
      <c r="W2" s="5"/>
      <c r="X2" s="5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5">
      <c r="A3" s="8" t="s">
        <v>13</v>
      </c>
      <c r="B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6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1" ht="21.75" customHeight="1">
      <c r="A4" s="111" t="s">
        <v>55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2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8" customHeight="1">
      <c r="A5" s="11" t="s">
        <v>6</v>
      </c>
      <c r="B5" s="11"/>
      <c r="C5" s="12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0"/>
      <c r="R5" s="12"/>
      <c r="S5" s="12"/>
      <c r="T5" s="12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15" customHeight="1">
      <c r="A6" s="17"/>
      <c r="B6" s="13"/>
      <c r="C6" s="10"/>
      <c r="D6" s="33" t="s">
        <v>18</v>
      </c>
      <c r="E6" s="104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2"/>
      <c r="R6" s="93"/>
      <c r="S6" s="93"/>
      <c r="T6" s="93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2" ht="15" customHeight="1">
      <c r="A7" s="85" t="s">
        <v>25</v>
      </c>
      <c r="B7" s="85" t="s">
        <v>37</v>
      </c>
      <c r="C7" s="13" t="s">
        <v>31</v>
      </c>
      <c r="D7" s="13">
        <v>2016</v>
      </c>
      <c r="E7" s="13">
        <v>2015</v>
      </c>
      <c r="F7" s="68">
        <v>2014</v>
      </c>
      <c r="G7" s="68">
        <v>2013</v>
      </c>
      <c r="H7" s="89">
        <v>2012</v>
      </c>
      <c r="I7" s="89">
        <v>2011</v>
      </c>
      <c r="J7" s="89">
        <v>2010</v>
      </c>
      <c r="K7" s="89">
        <v>2009</v>
      </c>
      <c r="L7" s="89">
        <v>2008</v>
      </c>
      <c r="M7" s="89">
        <v>2007</v>
      </c>
      <c r="N7" s="89">
        <v>2006</v>
      </c>
      <c r="O7" s="89">
        <v>2005</v>
      </c>
      <c r="P7" s="89">
        <v>2004</v>
      </c>
      <c r="Q7" s="13">
        <v>2003</v>
      </c>
      <c r="R7" s="90">
        <v>2002</v>
      </c>
      <c r="S7" s="91">
        <v>2001</v>
      </c>
      <c r="T7" s="91">
        <v>2000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39" customFormat="1" ht="12" customHeight="1">
      <c r="A8" s="84" t="s">
        <v>26</v>
      </c>
      <c r="C8" s="55" t="s">
        <v>15</v>
      </c>
      <c r="D8" s="106">
        <v>3593605</v>
      </c>
      <c r="E8" s="38">
        <v>3562592</v>
      </c>
      <c r="F8" s="38">
        <v>3379242</v>
      </c>
      <c r="G8" s="38">
        <v>3328025</v>
      </c>
      <c r="H8" s="87">
        <f>H9+H15+H21</f>
        <v>3382198</v>
      </c>
      <c r="I8" s="88">
        <f>I9+I15+I21</f>
        <v>3443137</v>
      </c>
      <c r="J8" s="87">
        <f>J9+J15+J21</f>
        <v>3977525</v>
      </c>
      <c r="K8" s="87">
        <f>K9+K15+K21</f>
        <v>3615054</v>
      </c>
      <c r="L8" s="87">
        <f>L9+L15+L21</f>
        <v>3934909</v>
      </c>
      <c r="M8" s="87">
        <f aca="true" t="shared" si="0" ref="M8:R8">M9+M15+M21</f>
        <v>3861223</v>
      </c>
      <c r="N8" s="87">
        <f t="shared" si="0"/>
        <v>3774099</v>
      </c>
      <c r="O8" s="87">
        <f t="shared" si="0"/>
        <v>3622797</v>
      </c>
      <c r="P8" s="87">
        <f t="shared" si="0"/>
        <v>3737171</v>
      </c>
      <c r="Q8" s="87">
        <f t="shared" si="0"/>
        <v>3402163</v>
      </c>
      <c r="R8" s="87">
        <f t="shared" si="0"/>
        <v>3211110</v>
      </c>
      <c r="S8" s="87">
        <v>2999471</v>
      </c>
      <c r="T8" s="87">
        <v>3145779</v>
      </c>
      <c r="U8" s="14"/>
      <c r="V8" s="14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31" customFormat="1" ht="15" customHeight="1">
      <c r="A9" s="84" t="s">
        <v>26</v>
      </c>
      <c r="B9" s="84" t="s">
        <v>30</v>
      </c>
      <c r="C9" s="84" t="s">
        <v>32</v>
      </c>
      <c r="D9" s="86">
        <f>SUM(D10:D14)</f>
        <v>1316884</v>
      </c>
      <c r="E9" s="86">
        <v>1300659</v>
      </c>
      <c r="F9" s="86">
        <v>1129471</v>
      </c>
      <c r="G9" s="86">
        <v>1109518</v>
      </c>
      <c r="H9" s="30">
        <v>1141814</v>
      </c>
      <c r="I9" s="30">
        <f>SUM(I10:I14)</f>
        <v>1181432</v>
      </c>
      <c r="J9" s="30">
        <f>SUM(J10:J14)</f>
        <v>1425705</v>
      </c>
      <c r="K9" s="30">
        <f>SUM(K10:K14)</f>
        <v>1142860</v>
      </c>
      <c r="L9" s="30">
        <f aca="true" t="shared" si="1" ref="L9:R9">SUM(L10:L14)</f>
        <v>1461091</v>
      </c>
      <c r="M9" s="30">
        <f t="shared" si="1"/>
        <v>1323697</v>
      </c>
      <c r="N9" s="30">
        <f t="shared" si="1"/>
        <v>1292897</v>
      </c>
      <c r="O9" s="30">
        <f t="shared" si="1"/>
        <v>1208180</v>
      </c>
      <c r="P9" s="30">
        <f t="shared" si="1"/>
        <v>1294622</v>
      </c>
      <c r="Q9" s="30">
        <f t="shared" si="1"/>
        <v>1185858</v>
      </c>
      <c r="R9" s="30">
        <f t="shared" si="1"/>
        <v>1197830</v>
      </c>
      <c r="S9" s="30">
        <v>1025770</v>
      </c>
      <c r="T9" s="30">
        <v>1250634</v>
      </c>
      <c r="U9" s="16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31" customFormat="1" ht="12" customHeight="1">
      <c r="A10" s="17" t="s">
        <v>26</v>
      </c>
      <c r="B10" s="17" t="s">
        <v>30</v>
      </c>
      <c r="C10" s="50" t="s">
        <v>2</v>
      </c>
      <c r="D10" s="30">
        <v>19219</v>
      </c>
      <c r="E10" s="30">
        <v>19267</v>
      </c>
      <c r="F10" s="30">
        <v>19389</v>
      </c>
      <c r="G10" s="30">
        <v>22628.441</v>
      </c>
      <c r="H10" s="30">
        <v>22574</v>
      </c>
      <c r="I10" s="30">
        <v>23645</v>
      </c>
      <c r="J10" s="30">
        <v>13784</v>
      </c>
      <c r="K10" s="30">
        <v>20542</v>
      </c>
      <c r="L10" s="30">
        <v>36680</v>
      </c>
      <c r="M10" s="30">
        <v>20216</v>
      </c>
      <c r="N10" s="30">
        <v>19819</v>
      </c>
      <c r="O10" s="30">
        <v>19431</v>
      </c>
      <c r="P10" s="30">
        <v>19050</v>
      </c>
      <c r="Q10" s="30">
        <v>18676</v>
      </c>
      <c r="R10" s="30">
        <v>3086</v>
      </c>
      <c r="S10" s="30">
        <v>86</v>
      </c>
      <c r="T10" s="30">
        <v>12434</v>
      </c>
      <c r="U10" s="16"/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31" customFormat="1" ht="12" customHeight="1">
      <c r="A11" s="17" t="s">
        <v>26</v>
      </c>
      <c r="B11" s="17" t="s">
        <v>30</v>
      </c>
      <c r="C11" s="50" t="s">
        <v>33</v>
      </c>
      <c r="D11" s="30">
        <v>73921</v>
      </c>
      <c r="E11" s="30">
        <v>76045</v>
      </c>
      <c r="F11" s="30">
        <v>80336</v>
      </c>
      <c r="G11" s="30">
        <v>77532.04515</v>
      </c>
      <c r="H11" s="21">
        <v>78516</v>
      </c>
      <c r="I11" s="30">
        <v>91408</v>
      </c>
      <c r="J11" s="30">
        <v>123412</v>
      </c>
      <c r="K11" s="30">
        <v>94230</v>
      </c>
      <c r="L11" s="30">
        <v>143274</v>
      </c>
      <c r="M11" s="30">
        <v>174277</v>
      </c>
      <c r="N11" s="30">
        <v>170199</v>
      </c>
      <c r="O11" s="30">
        <f>173285</f>
        <v>173285</v>
      </c>
      <c r="P11" s="30">
        <v>172225</v>
      </c>
      <c r="Q11" s="30">
        <v>205530</v>
      </c>
      <c r="R11" s="21">
        <v>229811</v>
      </c>
      <c r="S11" s="21">
        <v>158227</v>
      </c>
      <c r="T11" s="21">
        <v>274141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31" customFormat="1" ht="12" customHeight="1">
      <c r="A12" s="17" t="s">
        <v>26</v>
      </c>
      <c r="B12" s="17" t="s">
        <v>30</v>
      </c>
      <c r="C12" s="50" t="s">
        <v>9</v>
      </c>
      <c r="D12" s="30">
        <f>273639+338033</f>
        <v>611672</v>
      </c>
      <c r="E12" s="30">
        <f>273686+335625</f>
        <v>609311</v>
      </c>
      <c r="F12" s="30">
        <f>324670+228491</f>
        <v>553161</v>
      </c>
      <c r="G12" s="30">
        <f>249643.98+329343.3924</f>
        <v>578987.3724</v>
      </c>
      <c r="H12" s="30">
        <f>266213+336838</f>
        <v>603051</v>
      </c>
      <c r="I12" s="30">
        <f>336946+260249</f>
        <v>597195</v>
      </c>
      <c r="J12" s="30">
        <f>437937+345735</f>
        <v>783672</v>
      </c>
      <c r="K12" s="30">
        <f>303975+263321</f>
        <v>567296</v>
      </c>
      <c r="L12" s="30">
        <f>339135+301982</f>
        <v>641117</v>
      </c>
      <c r="M12" s="30">
        <f>271560+343729</f>
        <v>615289</v>
      </c>
      <c r="N12" s="30">
        <f>344218+264948</f>
        <v>609166</v>
      </c>
      <c r="O12" s="30">
        <f>338347+223628</f>
        <v>561975</v>
      </c>
      <c r="P12" s="30">
        <f>337302+322834</f>
        <v>660136</v>
      </c>
      <c r="Q12" s="21">
        <f>324028+196840</f>
        <v>520868</v>
      </c>
      <c r="R12" s="21">
        <f>313933+238445</f>
        <v>552378</v>
      </c>
      <c r="S12" s="21">
        <v>531081</v>
      </c>
      <c r="T12" s="21">
        <v>553521</v>
      </c>
      <c r="U12" s="28"/>
      <c r="V12" s="28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s="31" customFormat="1" ht="12" customHeight="1">
      <c r="A13" s="17" t="s">
        <v>26</v>
      </c>
      <c r="B13" s="17" t="s">
        <v>30</v>
      </c>
      <c r="C13" s="50" t="s">
        <v>34</v>
      </c>
      <c r="D13" s="30">
        <v>406856</v>
      </c>
      <c r="E13" s="30">
        <v>400783</v>
      </c>
      <c r="F13" s="30">
        <v>383028</v>
      </c>
      <c r="G13" s="30">
        <v>376644.43</v>
      </c>
      <c r="H13" s="30">
        <v>379265</v>
      </c>
      <c r="I13" s="30">
        <v>403195</v>
      </c>
      <c r="J13" s="30">
        <v>445484</v>
      </c>
      <c r="K13" s="30">
        <v>411174</v>
      </c>
      <c r="L13" s="30">
        <v>493773</v>
      </c>
      <c r="M13" s="30">
        <v>448294</v>
      </c>
      <c r="N13" s="30">
        <v>431304</v>
      </c>
      <c r="O13" s="30">
        <v>399445</v>
      </c>
      <c r="P13" s="30">
        <v>389557</v>
      </c>
      <c r="Q13" s="21">
        <v>388083</v>
      </c>
      <c r="R13" s="21">
        <v>360264</v>
      </c>
      <c r="S13" s="21">
        <v>321288</v>
      </c>
      <c r="T13" s="21">
        <v>346634</v>
      </c>
      <c r="U13" s="14"/>
      <c r="V13" s="14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31" customFormat="1" ht="12" customHeight="1">
      <c r="A14" s="17" t="s">
        <v>26</v>
      </c>
      <c r="B14" s="17" t="s">
        <v>30</v>
      </c>
      <c r="C14" s="94" t="s">
        <v>3</v>
      </c>
      <c r="D14" s="27">
        <v>205216</v>
      </c>
      <c r="E14" s="27">
        <v>195254</v>
      </c>
      <c r="F14" s="27">
        <v>93557</v>
      </c>
      <c r="G14" s="27">
        <v>53725.85425</v>
      </c>
      <c r="H14" s="27">
        <v>58408</v>
      </c>
      <c r="I14" s="27">
        <v>65989</v>
      </c>
      <c r="J14" s="27">
        <v>59353</v>
      </c>
      <c r="K14" s="27">
        <v>49618</v>
      </c>
      <c r="L14" s="27">
        <v>146247</v>
      </c>
      <c r="M14" s="27">
        <f>65621</f>
        <v>65621</v>
      </c>
      <c r="N14" s="27">
        <v>62409</v>
      </c>
      <c r="O14" s="27">
        <f>54044</f>
        <v>54044</v>
      </c>
      <c r="P14" s="27">
        <v>53654</v>
      </c>
      <c r="Q14" s="27">
        <v>52701</v>
      </c>
      <c r="R14" s="27">
        <v>52291</v>
      </c>
      <c r="S14" s="27">
        <v>15088</v>
      </c>
      <c r="T14" s="27">
        <v>63904</v>
      </c>
      <c r="U14" s="16"/>
      <c r="V14" s="16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31" customFormat="1" ht="12" customHeight="1">
      <c r="A15" s="84" t="s">
        <v>26</v>
      </c>
      <c r="B15" s="84" t="s">
        <v>35</v>
      </c>
      <c r="C15" s="17" t="s">
        <v>16</v>
      </c>
      <c r="D15" s="30">
        <f>SUM(D16:D20)</f>
        <v>1211358</v>
      </c>
      <c r="E15" s="51">
        <v>1240446</v>
      </c>
      <c r="F15" s="51">
        <v>1210916</v>
      </c>
      <c r="G15" s="51">
        <v>1184458</v>
      </c>
      <c r="H15" s="30">
        <v>1183870</v>
      </c>
      <c r="I15" s="30">
        <f>SUM(I16:I20)</f>
        <v>1170481</v>
      </c>
      <c r="J15" s="30">
        <f>SUM(J16:J20)</f>
        <v>1231598</v>
      </c>
      <c r="K15" s="30">
        <f>SUM(K16:K20)</f>
        <v>1233472</v>
      </c>
      <c r="L15" s="30">
        <f aca="true" t="shared" si="2" ref="L15:R15">SUM(L16:L20)</f>
        <v>1292884</v>
      </c>
      <c r="M15" s="30">
        <f t="shared" si="2"/>
        <v>1360087</v>
      </c>
      <c r="N15" s="30">
        <f t="shared" si="2"/>
        <v>1299048</v>
      </c>
      <c r="O15" s="30">
        <f t="shared" si="2"/>
        <v>1251372</v>
      </c>
      <c r="P15" s="30">
        <f t="shared" si="2"/>
        <v>1209417</v>
      </c>
      <c r="Q15" s="30">
        <f t="shared" si="2"/>
        <v>1171263</v>
      </c>
      <c r="R15" s="30">
        <f t="shared" si="2"/>
        <v>1007526</v>
      </c>
      <c r="S15" s="30">
        <v>1023059</v>
      </c>
      <c r="T15" s="30">
        <v>952046</v>
      </c>
      <c r="U15" s="16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31" customFormat="1" ht="12" customHeight="1">
      <c r="A16" s="17" t="s">
        <v>26</v>
      </c>
      <c r="B16" s="17" t="s">
        <v>35</v>
      </c>
      <c r="C16" s="50" t="s">
        <v>27</v>
      </c>
      <c r="D16" s="51">
        <v>0</v>
      </c>
      <c r="E16" s="51">
        <v>0</v>
      </c>
      <c r="F16" s="51">
        <v>0</v>
      </c>
      <c r="G16" s="51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16"/>
      <c r="V16" s="1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31" customFormat="1" ht="12" customHeight="1">
      <c r="A17" s="17" t="s">
        <v>26</v>
      </c>
      <c r="B17" s="17" t="s">
        <v>35</v>
      </c>
      <c r="C17" s="50" t="s">
        <v>28</v>
      </c>
      <c r="D17" s="51">
        <v>1134059</v>
      </c>
      <c r="E17" s="51">
        <v>1162740</v>
      </c>
      <c r="F17" s="51">
        <v>1134497</v>
      </c>
      <c r="G17" s="51">
        <v>1096868.373</v>
      </c>
      <c r="H17" s="30">
        <v>1070371</v>
      </c>
      <c r="I17" s="30">
        <v>1071922</v>
      </c>
      <c r="J17" s="30">
        <v>1140140</v>
      </c>
      <c r="K17" s="30">
        <v>1151551</v>
      </c>
      <c r="L17" s="30">
        <v>1266094</v>
      </c>
      <c r="M17" s="30">
        <v>1341844</v>
      </c>
      <c r="N17" s="30">
        <v>1282080</v>
      </c>
      <c r="O17" s="30">
        <v>1233583</v>
      </c>
      <c r="P17" s="30">
        <v>1193645</v>
      </c>
      <c r="Q17" s="21">
        <v>1154579</v>
      </c>
      <c r="R17" s="21">
        <v>993538</v>
      </c>
      <c r="S17" s="21">
        <v>1010256</v>
      </c>
      <c r="T17" s="21">
        <v>938403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31" customFormat="1" ht="12" customHeight="1">
      <c r="A18" s="17" t="s">
        <v>26</v>
      </c>
      <c r="B18" s="17" t="s">
        <v>35</v>
      </c>
      <c r="C18" s="50" t="s">
        <v>29</v>
      </c>
      <c r="D18" s="50">
        <v>0</v>
      </c>
      <c r="E18" s="50">
        <v>0</v>
      </c>
      <c r="F18" s="50">
        <v>0</v>
      </c>
      <c r="G18" s="5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21">
        <v>0</v>
      </c>
      <c r="R18" s="21">
        <v>0</v>
      </c>
      <c r="S18" s="21">
        <v>0</v>
      </c>
      <c r="T18" s="21">
        <v>0</v>
      </c>
      <c r="U18" s="28"/>
      <c r="V18" s="28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s="31" customFormat="1" ht="12" customHeight="1">
      <c r="A19" s="17" t="s">
        <v>26</v>
      </c>
      <c r="B19" s="17" t="s">
        <v>35</v>
      </c>
      <c r="C19" s="50" t="s">
        <v>4</v>
      </c>
      <c r="D19" s="51">
        <v>37838</v>
      </c>
      <c r="E19" s="51">
        <v>36342</v>
      </c>
      <c r="F19" s="51">
        <v>37066</v>
      </c>
      <c r="G19" s="51">
        <v>51511.26452</v>
      </c>
      <c r="H19" s="30">
        <v>37763</v>
      </c>
      <c r="I19" s="30">
        <v>37033</v>
      </c>
      <c r="J19" s="30">
        <v>37151</v>
      </c>
      <c r="K19" s="30">
        <v>39900</v>
      </c>
      <c r="L19" s="30">
        <v>19076</v>
      </c>
      <c r="M19" s="30">
        <v>16843</v>
      </c>
      <c r="N19" s="30">
        <v>16796</v>
      </c>
      <c r="O19" s="30">
        <v>17285</v>
      </c>
      <c r="P19" s="30">
        <v>15772</v>
      </c>
      <c r="Q19" s="21">
        <v>16684</v>
      </c>
      <c r="R19" s="21">
        <v>13988</v>
      </c>
      <c r="S19" s="21">
        <v>12803</v>
      </c>
      <c r="T19" s="21">
        <v>13643</v>
      </c>
      <c r="U19" s="14"/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31" customFormat="1" ht="12" customHeight="1">
      <c r="A20" s="85" t="s">
        <v>26</v>
      </c>
      <c r="B20" s="85" t="s">
        <v>35</v>
      </c>
      <c r="C20" s="94" t="s">
        <v>3</v>
      </c>
      <c r="D20" s="52">
        <v>39461</v>
      </c>
      <c r="E20" s="52">
        <v>41634</v>
      </c>
      <c r="F20" s="52">
        <v>39352</v>
      </c>
      <c r="G20" s="52">
        <v>36078.14556</v>
      </c>
      <c r="H20" s="27">
        <v>75736</v>
      </c>
      <c r="I20" s="27">
        <v>61526</v>
      </c>
      <c r="J20" s="27">
        <v>54307</v>
      </c>
      <c r="K20" s="27">
        <v>42021</v>
      </c>
      <c r="L20" s="27">
        <v>7714</v>
      </c>
      <c r="M20" s="27">
        <v>1400</v>
      </c>
      <c r="N20" s="27">
        <v>172</v>
      </c>
      <c r="O20" s="27">
        <f>504</f>
        <v>504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16"/>
      <c r="V20" s="16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s="31" customFormat="1" ht="12" customHeight="1">
      <c r="A21" s="17" t="s">
        <v>26</v>
      </c>
      <c r="B21" s="17" t="s">
        <v>36</v>
      </c>
      <c r="C21" s="50" t="s">
        <v>17</v>
      </c>
      <c r="D21" s="105">
        <f>SUM(D22:D26)</f>
        <v>1065363</v>
      </c>
      <c r="E21" s="30">
        <v>1021487</v>
      </c>
      <c r="F21" s="30">
        <v>1038856</v>
      </c>
      <c r="G21" s="30">
        <f>677195+356854</f>
        <v>1034049</v>
      </c>
      <c r="H21" s="30">
        <f>702364+354150</f>
        <v>1056514</v>
      </c>
      <c r="I21" s="30">
        <f>704947+386277</f>
        <v>1091224</v>
      </c>
      <c r="J21" s="30">
        <f>SUM(J22:J26)</f>
        <v>1320222</v>
      </c>
      <c r="K21" s="30">
        <f>SUM(K22:K26)</f>
        <v>1238722</v>
      </c>
      <c r="L21" s="30">
        <f aca="true" t="shared" si="3" ref="L21:R21">SUM(L22:L26)</f>
        <v>1180934</v>
      </c>
      <c r="M21" s="30">
        <f t="shared" si="3"/>
        <v>1177439</v>
      </c>
      <c r="N21" s="30">
        <f t="shared" si="3"/>
        <v>1182154</v>
      </c>
      <c r="O21" s="30">
        <f t="shared" si="3"/>
        <v>1163245</v>
      </c>
      <c r="P21" s="30">
        <f t="shared" si="3"/>
        <v>1233132</v>
      </c>
      <c r="Q21" s="30">
        <f t="shared" si="3"/>
        <v>1045042</v>
      </c>
      <c r="R21" s="30">
        <f t="shared" si="3"/>
        <v>1005754</v>
      </c>
      <c r="S21" s="30">
        <v>950642</v>
      </c>
      <c r="T21" s="30">
        <v>943099</v>
      </c>
      <c r="U21" s="16"/>
      <c r="V21" s="16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s="31" customFormat="1" ht="12" customHeight="1">
      <c r="A22" s="17" t="s">
        <v>26</v>
      </c>
      <c r="B22" s="17" t="s">
        <v>36</v>
      </c>
      <c r="C22" s="50" t="s">
        <v>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16"/>
      <c r="V22" s="16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31" customFormat="1" ht="12" customHeight="1">
      <c r="A23" s="17" t="s">
        <v>26</v>
      </c>
      <c r="B23" s="17" t="s">
        <v>36</v>
      </c>
      <c r="C23" s="50" t="s">
        <v>5</v>
      </c>
      <c r="D23" s="30">
        <f>54114+314827</f>
        <v>368941</v>
      </c>
      <c r="E23" s="30">
        <f>36985+307205</f>
        <v>344190</v>
      </c>
      <c r="F23" s="30">
        <f>35996+285585</f>
        <v>321581</v>
      </c>
      <c r="G23" s="30">
        <f>40325.86014+304332.13798</f>
        <v>344657.99812</v>
      </c>
      <c r="H23" s="30">
        <v>340153</v>
      </c>
      <c r="I23" s="30">
        <f>48233+329214</f>
        <v>377447</v>
      </c>
      <c r="J23" s="30">
        <f>52561+374024</f>
        <v>426585</v>
      </c>
      <c r="K23" s="30">
        <f>69779+373243</f>
        <v>443022</v>
      </c>
      <c r="L23" s="30">
        <f>75387+355662</f>
        <v>431049</v>
      </c>
      <c r="M23" s="30">
        <f>75463+391690</f>
        <v>467153</v>
      </c>
      <c r="N23" s="30">
        <f>71749+419931</f>
        <v>491680</v>
      </c>
      <c r="O23" s="30">
        <f>78445+439218</f>
        <v>517663</v>
      </c>
      <c r="P23" s="30">
        <f>82368+463736</f>
        <v>546104</v>
      </c>
      <c r="Q23" s="21">
        <f>75201+384740</f>
        <v>459941</v>
      </c>
      <c r="R23" s="21">
        <f>57309+367819</f>
        <v>425128</v>
      </c>
      <c r="S23" s="21">
        <v>386412</v>
      </c>
      <c r="T23" s="21">
        <v>404047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s="31" customFormat="1" ht="12" customHeight="1">
      <c r="A24" s="17" t="s">
        <v>26</v>
      </c>
      <c r="B24" s="17" t="s">
        <v>36</v>
      </c>
      <c r="C24" s="50" t="s">
        <v>9</v>
      </c>
      <c r="D24" s="30">
        <f>201282+5538+255+23307</f>
        <v>230382</v>
      </c>
      <c r="E24" s="30">
        <f>198664+5434+736+7447</f>
        <v>212281</v>
      </c>
      <c r="F24" s="30">
        <f>238912+6520+4763+8373</f>
        <v>258568</v>
      </c>
      <c r="G24" s="30">
        <f>183707.7427+2553.009736+11110.92652+20016.31252</f>
        <v>217387.99147600002</v>
      </c>
      <c r="H24" s="30">
        <f>11574+20245+187965+4502</f>
        <v>224286</v>
      </c>
      <c r="I24" s="30">
        <f>11284+180834+20733+4294</f>
        <v>217145</v>
      </c>
      <c r="J24" s="30">
        <f>345104+7006+11327+20612</f>
        <v>384049</v>
      </c>
      <c r="K24" s="30">
        <f>209626+8520+4824+17597</f>
        <v>240567</v>
      </c>
      <c r="L24" s="30">
        <f>7857+12320+229957+3900</f>
        <v>254034</v>
      </c>
      <c r="M24" s="30">
        <f>207556+2786+11365+14388</f>
        <v>236095</v>
      </c>
      <c r="N24" s="30">
        <f>11515+208786+6542+3872</f>
        <v>230715</v>
      </c>
      <c r="O24" s="30">
        <f>10780+178412+7411+2712</f>
        <v>199315</v>
      </c>
      <c r="P24" s="30">
        <f>10145+234026+8657+4315</f>
        <v>257143</v>
      </c>
      <c r="Q24" s="21">
        <f>10461+152733+8748+2889</f>
        <v>174831</v>
      </c>
      <c r="R24" s="21">
        <f>9664+176659+5115+3579</f>
        <v>195017</v>
      </c>
      <c r="S24" s="21">
        <v>200529</v>
      </c>
      <c r="T24" s="21">
        <v>162894</v>
      </c>
      <c r="U24" s="28"/>
      <c r="V24" s="2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s="31" customFormat="1" ht="12" customHeight="1">
      <c r="A25" s="17" t="s">
        <v>26</v>
      </c>
      <c r="B25" s="17" t="s">
        <v>36</v>
      </c>
      <c r="C25" s="50" t="s">
        <v>4</v>
      </c>
      <c r="D25" s="30">
        <f>339956+28404</f>
        <v>368360</v>
      </c>
      <c r="E25" s="30">
        <f>26335+341147</f>
        <v>367482</v>
      </c>
      <c r="F25" s="30">
        <f>335573+27207</f>
        <v>362780</v>
      </c>
      <c r="G25" s="30">
        <f>349517.6168+26620.70838</f>
        <v>376138.32518000004</v>
      </c>
      <c r="H25" s="30">
        <f>369448+28757</f>
        <v>398205</v>
      </c>
      <c r="I25" s="30">
        <f>376057+28707</f>
        <v>404764</v>
      </c>
      <c r="J25" s="30">
        <f>393761+26187</f>
        <v>419948</v>
      </c>
      <c r="K25" s="30">
        <f>444297+25009</f>
        <v>469306</v>
      </c>
      <c r="L25" s="30">
        <f>392534+21850</f>
        <v>414384</v>
      </c>
      <c r="M25" s="30">
        <f>370099+22667</f>
        <v>392766</v>
      </c>
      <c r="N25" s="30">
        <f>357146+21287</f>
        <v>378433</v>
      </c>
      <c r="O25" s="30">
        <f>345378+21206</f>
        <v>366584</v>
      </c>
      <c r="P25" s="30">
        <f>332344+19445</f>
        <v>351789</v>
      </c>
      <c r="Q25" s="21">
        <f>315077+18625</f>
        <v>333702</v>
      </c>
      <c r="R25" s="21">
        <f>292662+18399</f>
        <v>311061</v>
      </c>
      <c r="S25" s="21">
        <v>290734</v>
      </c>
      <c r="T25" s="21">
        <v>284535</v>
      </c>
      <c r="U25" s="14"/>
      <c r="V25" s="1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s="31" customFormat="1" ht="12" customHeight="1">
      <c r="A26" s="83" t="s">
        <v>26</v>
      </c>
      <c r="B26" s="83" t="s">
        <v>36</v>
      </c>
      <c r="C26" s="94" t="s">
        <v>3</v>
      </c>
      <c r="D26" s="27">
        <f>93851+3829</f>
        <v>97680</v>
      </c>
      <c r="E26" s="27">
        <f>94202+3332</f>
        <v>97534</v>
      </c>
      <c r="F26" s="27">
        <f>93296+2631</f>
        <v>95927</v>
      </c>
      <c r="G26" s="27">
        <f>92532.82925+3331.777874</f>
        <v>95864.607124</v>
      </c>
      <c r="H26" s="27">
        <f>90538+3332</f>
        <v>93870</v>
      </c>
      <c r="I26" s="27">
        <f>88539+3329</f>
        <v>91868</v>
      </c>
      <c r="J26" s="27">
        <f>86266+3374</f>
        <v>89640</v>
      </c>
      <c r="K26" s="27">
        <f>82567+3260</f>
        <v>85827</v>
      </c>
      <c r="L26" s="27">
        <f>78143+3324</f>
        <v>81467</v>
      </c>
      <c r="M26" s="27">
        <f>78101+3324</f>
        <v>81425</v>
      </c>
      <c r="N26" s="27">
        <f>78002+3324</f>
        <v>81326</v>
      </c>
      <c r="O26" s="27">
        <f>76425+3258</f>
        <v>79683</v>
      </c>
      <c r="P26" s="27">
        <f>74901+3195</f>
        <v>78096</v>
      </c>
      <c r="Q26" s="27">
        <f>73436+3132</f>
        <v>76568</v>
      </c>
      <c r="R26" s="27">
        <f>78+74470</f>
        <v>74548</v>
      </c>
      <c r="S26" s="27">
        <v>72967</v>
      </c>
      <c r="T26" s="27">
        <v>91623</v>
      </c>
      <c r="U26" s="16"/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s="31" customFormat="1" ht="15" customHeight="1">
      <c r="A27" s="54" t="s">
        <v>49</v>
      </c>
      <c r="B27" s="54"/>
      <c r="C27" s="54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U27" s="16"/>
      <c r="V27" s="16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30" s="37" customFormat="1" ht="16.5" customHeight="1">
      <c r="A28" s="113" t="s">
        <v>50</v>
      </c>
      <c r="B28" s="113"/>
      <c r="C28" s="114"/>
      <c r="D28" s="114"/>
      <c r="E28" s="114"/>
      <c r="F28" s="114"/>
      <c r="G28" s="114"/>
      <c r="H28" s="114"/>
      <c r="I28" s="114"/>
      <c r="J28" s="34"/>
      <c r="K28" s="34"/>
      <c r="L28" s="34"/>
      <c r="M28" s="34"/>
      <c r="N28" s="34"/>
      <c r="O28" s="34"/>
      <c r="P28" s="34"/>
      <c r="Q28" s="34"/>
      <c r="R28" s="34"/>
      <c r="S28" s="34"/>
      <c r="U28" s="34"/>
      <c r="V28" s="34"/>
      <c r="W28" s="34"/>
      <c r="X28" s="35"/>
      <c r="Y28" s="34"/>
      <c r="Z28" s="34"/>
      <c r="AA28" s="36"/>
      <c r="AB28" s="34"/>
      <c r="AC28" s="34"/>
      <c r="AD28" s="34"/>
    </row>
    <row r="29" spans="1:21" s="10" customFormat="1" ht="16.5" customHeight="1">
      <c r="A29" s="115" t="s">
        <v>14</v>
      </c>
      <c r="B29" s="115"/>
      <c r="C29" s="115"/>
      <c r="D29" s="115"/>
      <c r="E29" s="115"/>
      <c r="F29" s="115"/>
      <c r="G29" s="11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U29" s="16"/>
    </row>
    <row r="30" spans="18:41" ht="12.75">
      <c r="R30" s="22"/>
      <c r="S30" s="19"/>
      <c r="T30" s="19"/>
      <c r="U30" s="16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ht="12.75">
      <c r="O31" s="41"/>
    </row>
    <row r="32" spans="3:41" ht="12" customHeight="1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16"/>
      <c r="S32" s="16"/>
      <c r="T32" s="16"/>
      <c r="U32" s="16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3:21" s="10" customFormat="1" ht="12" customHeigh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0"/>
      <c r="O33" s="13"/>
      <c r="P33" s="40"/>
      <c r="Q33" s="16"/>
      <c r="R33" s="16"/>
      <c r="S33" s="16"/>
      <c r="T33" s="16"/>
      <c r="U33" s="16"/>
    </row>
    <row r="34" spans="18:21" ht="12.75">
      <c r="R34" s="41"/>
      <c r="U34" s="18"/>
    </row>
    <row r="35" ht="12.75">
      <c r="R35" s="41"/>
    </row>
    <row r="38" spans="8:11" ht="12.75">
      <c r="H38" s="42"/>
      <c r="I38" s="42"/>
      <c r="J38" s="42"/>
      <c r="K38" s="42"/>
    </row>
    <row r="39" spans="8:11" ht="12.75">
      <c r="H39" s="43"/>
      <c r="J39" s="43"/>
      <c r="K39" s="43"/>
    </row>
  </sheetData>
  <mergeCells count="3">
    <mergeCell ref="A4:T4"/>
    <mergeCell ref="A28:I28"/>
    <mergeCell ref="A29:G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3"/>
  <sheetViews>
    <sheetView tabSelected="1" workbookViewId="0" topLeftCell="A1">
      <selection activeCell="A27" sqref="A27:E27"/>
    </sheetView>
  </sheetViews>
  <sheetFormatPr defaultColWidth="11.421875" defaultRowHeight="12.75"/>
  <cols>
    <col min="1" max="1" width="11.421875" style="29" customWidth="1"/>
    <col min="2" max="2" width="41.421875" style="29" customWidth="1"/>
    <col min="3" max="3" width="57.7109375" style="29" customWidth="1"/>
    <col min="4" max="4" width="10.7109375" style="29" customWidth="1"/>
    <col min="5" max="5" width="10.00390625" style="29" customWidth="1"/>
    <col min="6" max="6" width="9.7109375" style="42" customWidth="1"/>
    <col min="7" max="7" width="9.57421875" style="42" customWidth="1"/>
    <col min="8" max="8" width="9.8515625" style="42" customWidth="1"/>
    <col min="9" max="16" width="10.00390625" style="42" customWidth="1"/>
    <col min="17" max="17" width="10.00390625" style="80" customWidth="1"/>
    <col min="18" max="20" width="10.00390625" style="42" customWidth="1"/>
    <col min="21" max="21" width="11.00390625" style="42" customWidth="1"/>
    <col min="22" max="16384" width="0" style="29" hidden="1" customWidth="1"/>
  </cols>
  <sheetData>
    <row r="1" spans="1:45" ht="26.25" customHeight="1">
      <c r="A1" s="1" t="s">
        <v>0</v>
      </c>
      <c r="E1" s="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7"/>
      <c r="S1" s="57"/>
      <c r="T1" s="57"/>
      <c r="U1" s="57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21" customHeight="1">
      <c r="A2" s="4" t="s">
        <v>12</v>
      </c>
      <c r="E2" s="4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9"/>
      <c r="R2" s="60"/>
      <c r="S2" s="60"/>
      <c r="T2" s="60"/>
      <c r="U2" s="60"/>
      <c r="V2" s="5"/>
      <c r="W2" s="5"/>
      <c r="X2" s="5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5">
      <c r="A3" s="8" t="s">
        <v>13</v>
      </c>
      <c r="E3" s="8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1"/>
      <c r="S3" s="61"/>
      <c r="T3" s="61"/>
      <c r="U3" s="61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1" ht="25.5" customHeight="1">
      <c r="A4" s="111" t="s">
        <v>53</v>
      </c>
      <c r="B4" s="111"/>
      <c r="C4" s="111"/>
      <c r="D4" s="111"/>
      <c r="E4" s="111"/>
      <c r="F4" s="111"/>
      <c r="G4" s="111"/>
      <c r="H4" s="111"/>
      <c r="I4" s="111"/>
      <c r="J4" s="82"/>
      <c r="K4" s="82"/>
      <c r="L4" s="82"/>
      <c r="M4" s="82"/>
      <c r="N4" s="82"/>
      <c r="O4" s="82"/>
      <c r="P4" s="82"/>
      <c r="Q4" s="82"/>
      <c r="T4" s="63"/>
      <c r="U4" s="6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8" customHeight="1">
      <c r="A5" s="11" t="s">
        <v>45</v>
      </c>
      <c r="B5" s="12"/>
      <c r="C5" s="12"/>
      <c r="D5" s="12"/>
      <c r="E5" s="11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  <c r="R5" s="66"/>
      <c r="S5" s="66"/>
      <c r="T5" s="66"/>
      <c r="U5" s="66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18" customHeight="1">
      <c r="A6" s="13"/>
      <c r="B6" s="10"/>
      <c r="C6" s="10"/>
      <c r="D6" s="95" t="s">
        <v>18</v>
      </c>
      <c r="E6" s="10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02"/>
      <c r="R6" s="67"/>
      <c r="S6" s="67"/>
      <c r="T6" s="67"/>
      <c r="U6" s="103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2" ht="17.25" customHeight="1">
      <c r="A7" s="93" t="s">
        <v>40</v>
      </c>
      <c r="B7" s="29" t="s">
        <v>42</v>
      </c>
      <c r="C7" s="13" t="s">
        <v>31</v>
      </c>
      <c r="D7" s="107" t="s">
        <v>52</v>
      </c>
      <c r="E7" s="68" t="s">
        <v>39</v>
      </c>
      <c r="F7" s="53" t="s">
        <v>51</v>
      </c>
      <c r="G7" s="53">
        <v>2013</v>
      </c>
      <c r="H7" s="53">
        <v>2012</v>
      </c>
      <c r="I7" s="53">
        <v>2011</v>
      </c>
      <c r="J7" s="53">
        <v>2010</v>
      </c>
      <c r="K7" s="53">
        <v>2009</v>
      </c>
      <c r="L7" s="53">
        <v>2008</v>
      </c>
      <c r="M7" s="53">
        <v>2007</v>
      </c>
      <c r="N7" s="53">
        <v>2006</v>
      </c>
      <c r="O7" s="53">
        <v>2005</v>
      </c>
      <c r="P7" s="53">
        <v>2004</v>
      </c>
      <c r="Q7" s="68">
        <v>2003</v>
      </c>
      <c r="R7" s="69">
        <v>2002</v>
      </c>
      <c r="S7" s="53">
        <v>2001</v>
      </c>
      <c r="T7" s="53">
        <v>2000</v>
      </c>
      <c r="U7" s="53">
        <v>1990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39" customFormat="1" ht="15" customHeight="1">
      <c r="A8" s="98" t="s">
        <v>41</v>
      </c>
      <c r="B8" s="98" t="s">
        <v>48</v>
      </c>
      <c r="C8" s="99" t="s">
        <v>24</v>
      </c>
      <c r="D8" s="100">
        <v>85875</v>
      </c>
      <c r="E8" s="100">
        <v>80303</v>
      </c>
      <c r="F8" s="100">
        <v>79050</v>
      </c>
      <c r="G8" s="101">
        <v>80468</v>
      </c>
      <c r="H8" s="100">
        <v>82962</v>
      </c>
      <c r="I8" s="100">
        <v>86449</v>
      </c>
      <c r="J8" s="100">
        <f>J9+J15+J21</f>
        <v>89008</v>
      </c>
      <c r="K8" s="100">
        <f aca="true" t="shared" si="0" ref="K8:S8">K9+K15+K21</f>
        <v>87558</v>
      </c>
      <c r="L8" s="100">
        <v>94510</v>
      </c>
      <c r="M8" s="100">
        <v>97986</v>
      </c>
      <c r="N8" s="100">
        <f t="shared" si="0"/>
        <v>95329</v>
      </c>
      <c r="O8" s="100">
        <f t="shared" si="0"/>
        <v>97629</v>
      </c>
      <c r="P8" s="100">
        <f t="shared" si="0"/>
        <v>94571</v>
      </c>
      <c r="Q8" s="100">
        <f t="shared" si="0"/>
        <v>90236</v>
      </c>
      <c r="R8" s="100">
        <v>84863</v>
      </c>
      <c r="S8" s="100">
        <f t="shared" si="0"/>
        <v>83522</v>
      </c>
      <c r="T8" s="100">
        <v>79511</v>
      </c>
      <c r="U8" s="100">
        <v>56801</v>
      </c>
      <c r="V8" s="14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31" customFormat="1" ht="15" customHeight="1">
      <c r="A9" s="31" t="s">
        <v>41</v>
      </c>
      <c r="B9" s="17" t="s">
        <v>30</v>
      </c>
      <c r="C9" s="50" t="s">
        <v>47</v>
      </c>
      <c r="D9" s="109" t="s">
        <v>8</v>
      </c>
      <c r="E9" s="70">
        <v>18897</v>
      </c>
      <c r="F9" s="70">
        <v>19974</v>
      </c>
      <c r="G9" s="70">
        <v>20629</v>
      </c>
      <c r="H9" s="71">
        <v>20702</v>
      </c>
      <c r="I9" s="71">
        <v>21289</v>
      </c>
      <c r="J9" s="71">
        <v>21528</v>
      </c>
      <c r="K9" s="71">
        <v>21176</v>
      </c>
      <c r="L9" s="71">
        <f>SUM(L10:L14)</f>
        <v>25909</v>
      </c>
      <c r="M9" s="71">
        <v>27538</v>
      </c>
      <c r="N9" s="71">
        <f aca="true" t="shared" si="1" ref="N9:T9">SUM(N10:N14)</f>
        <v>25481</v>
      </c>
      <c r="O9" s="71">
        <f t="shared" si="1"/>
        <v>31102</v>
      </c>
      <c r="P9" s="71">
        <f t="shared" si="1"/>
        <v>30265</v>
      </c>
      <c r="Q9" s="71">
        <v>29433</v>
      </c>
      <c r="R9" s="71">
        <v>27456</v>
      </c>
      <c r="S9" s="71">
        <v>27132</v>
      </c>
      <c r="T9" s="71">
        <f t="shared" si="1"/>
        <v>25330</v>
      </c>
      <c r="U9" s="71">
        <v>20236</v>
      </c>
      <c r="V9" s="16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31" customFormat="1" ht="15" customHeight="1">
      <c r="A10" s="31" t="s">
        <v>41</v>
      </c>
      <c r="B10" s="17" t="s">
        <v>30</v>
      </c>
      <c r="C10" s="50" t="s">
        <v>23</v>
      </c>
      <c r="D10" s="109" t="s">
        <v>8</v>
      </c>
      <c r="E10" s="70">
        <v>1397</v>
      </c>
      <c r="F10" s="70">
        <v>1372</v>
      </c>
      <c r="G10" s="70">
        <v>1646</v>
      </c>
      <c r="H10" s="71">
        <v>1272</v>
      </c>
      <c r="I10" s="71">
        <v>1663</v>
      </c>
      <c r="J10" s="71">
        <v>1380</v>
      </c>
      <c r="K10" s="71">
        <v>1107</v>
      </c>
      <c r="L10" s="71">
        <v>1703</v>
      </c>
      <c r="M10" s="71">
        <v>1894</v>
      </c>
      <c r="N10" s="71">
        <v>1713</v>
      </c>
      <c r="O10" s="71">
        <v>1876</v>
      </c>
      <c r="P10" s="71">
        <v>2048</v>
      </c>
      <c r="Q10" s="71">
        <v>2078</v>
      </c>
      <c r="R10" s="71">
        <v>2077</v>
      </c>
      <c r="S10" s="71">
        <v>2094</v>
      </c>
      <c r="T10" s="71">
        <v>1792</v>
      </c>
      <c r="U10" s="71">
        <v>3786</v>
      </c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31" customFormat="1" ht="15" customHeight="1">
      <c r="A11" s="31" t="s">
        <v>41</v>
      </c>
      <c r="B11" s="17" t="s">
        <v>30</v>
      </c>
      <c r="C11" s="50" t="s">
        <v>5</v>
      </c>
      <c r="D11" s="70">
        <v>5364</v>
      </c>
      <c r="E11" s="70">
        <v>2717</v>
      </c>
      <c r="F11" s="70">
        <v>2547</v>
      </c>
      <c r="G11" s="70">
        <v>2679</v>
      </c>
      <c r="H11" s="71">
        <v>3486</v>
      </c>
      <c r="I11" s="71">
        <v>4356</v>
      </c>
      <c r="J11" s="71">
        <v>4917</v>
      </c>
      <c r="K11" s="71">
        <v>4732</v>
      </c>
      <c r="L11" s="71">
        <v>5284</v>
      </c>
      <c r="M11" s="71">
        <v>5573</v>
      </c>
      <c r="N11" s="71">
        <v>5341</v>
      </c>
      <c r="O11" s="71">
        <v>5548</v>
      </c>
      <c r="P11" s="71">
        <v>5783</v>
      </c>
      <c r="Q11" s="71">
        <v>6107</v>
      </c>
      <c r="R11" s="70">
        <v>5787</v>
      </c>
      <c r="S11" s="70">
        <v>5969</v>
      </c>
      <c r="T11" s="70">
        <v>5722</v>
      </c>
      <c r="U11" s="70">
        <v>5773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31" customFormat="1" ht="15" customHeight="1">
      <c r="A12" s="31" t="s">
        <v>41</v>
      </c>
      <c r="B12" s="17" t="s">
        <v>30</v>
      </c>
      <c r="C12" s="50" t="s">
        <v>38</v>
      </c>
      <c r="D12" s="70" t="s">
        <v>8</v>
      </c>
      <c r="E12" s="70">
        <v>6897</v>
      </c>
      <c r="F12" s="70">
        <v>8753</v>
      </c>
      <c r="G12" s="70">
        <v>9034</v>
      </c>
      <c r="H12" s="71">
        <v>8443</v>
      </c>
      <c r="I12" s="71">
        <v>7697</v>
      </c>
      <c r="J12" s="71">
        <v>7765</v>
      </c>
      <c r="K12" s="71">
        <v>7527</v>
      </c>
      <c r="L12" s="71">
        <v>9348</v>
      </c>
      <c r="M12" s="71">
        <v>10085</v>
      </c>
      <c r="N12" s="71">
        <v>8778</v>
      </c>
      <c r="O12" s="71">
        <v>13284</v>
      </c>
      <c r="P12" s="71">
        <v>12345</v>
      </c>
      <c r="Q12" s="70">
        <v>11624</v>
      </c>
      <c r="R12" s="70">
        <v>10347</v>
      </c>
      <c r="S12" s="70">
        <v>9992</v>
      </c>
      <c r="T12" s="70">
        <v>9149</v>
      </c>
      <c r="U12" s="70">
        <v>3399</v>
      </c>
      <c r="V12" s="28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s="31" customFormat="1" ht="15" customHeight="1">
      <c r="A13" s="31" t="s">
        <v>41</v>
      </c>
      <c r="B13" s="17" t="s">
        <v>30</v>
      </c>
      <c r="C13" s="50" t="s">
        <v>20</v>
      </c>
      <c r="D13" s="109" t="s">
        <v>8</v>
      </c>
      <c r="E13" s="70">
        <v>6540</v>
      </c>
      <c r="F13" s="70">
        <v>6163</v>
      </c>
      <c r="G13" s="70">
        <v>6091</v>
      </c>
      <c r="H13" s="71">
        <v>6232</v>
      </c>
      <c r="I13" s="71">
        <v>6317</v>
      </c>
      <c r="J13" s="71">
        <v>6320</v>
      </c>
      <c r="K13" s="71">
        <v>6604</v>
      </c>
      <c r="L13" s="71">
        <v>8100</v>
      </c>
      <c r="M13" s="71">
        <v>8367</v>
      </c>
      <c r="N13" s="71">
        <v>8060</v>
      </c>
      <c r="O13" s="71">
        <v>9033</v>
      </c>
      <c r="P13" s="71">
        <v>8731</v>
      </c>
      <c r="Q13" s="70">
        <v>8278</v>
      </c>
      <c r="R13" s="70">
        <v>7900</v>
      </c>
      <c r="S13" s="70">
        <v>7763</v>
      </c>
      <c r="T13" s="70">
        <v>7365</v>
      </c>
      <c r="U13" s="70">
        <v>5442</v>
      </c>
      <c r="V13" s="14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31" customFormat="1" ht="15" customHeight="1">
      <c r="A14" s="31" t="s">
        <v>41</v>
      </c>
      <c r="B14" s="17" t="s">
        <v>30</v>
      </c>
      <c r="C14" s="50" t="s">
        <v>22</v>
      </c>
      <c r="D14" s="110" t="s">
        <v>8</v>
      </c>
      <c r="E14" s="72">
        <v>1346</v>
      </c>
      <c r="F14" s="72">
        <v>1139</v>
      </c>
      <c r="G14" s="72">
        <v>1179</v>
      </c>
      <c r="H14" s="72">
        <v>1269</v>
      </c>
      <c r="I14" s="72">
        <v>1256</v>
      </c>
      <c r="J14" s="72">
        <v>1146</v>
      </c>
      <c r="K14" s="72">
        <v>1206</v>
      </c>
      <c r="L14" s="72">
        <v>1474</v>
      </c>
      <c r="M14" s="72">
        <v>1620</v>
      </c>
      <c r="N14" s="72">
        <v>1589</v>
      </c>
      <c r="O14" s="72">
        <v>1361</v>
      </c>
      <c r="P14" s="72">
        <v>1358</v>
      </c>
      <c r="Q14" s="72">
        <v>1347</v>
      </c>
      <c r="R14" s="72">
        <v>1346</v>
      </c>
      <c r="S14" s="72">
        <v>1314</v>
      </c>
      <c r="T14" s="72">
        <v>1302</v>
      </c>
      <c r="U14" s="72">
        <v>1836</v>
      </c>
      <c r="V14" s="16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31" customFormat="1" ht="15" customHeight="1">
      <c r="A15" s="84" t="s">
        <v>41</v>
      </c>
      <c r="B15" s="84" t="s">
        <v>43</v>
      </c>
      <c r="C15" s="96" t="s">
        <v>46</v>
      </c>
      <c r="D15" s="109" t="s">
        <v>8</v>
      </c>
      <c r="E15" s="70">
        <v>33445</v>
      </c>
      <c r="F15" s="70">
        <v>31828</v>
      </c>
      <c r="G15" s="70">
        <v>31636</v>
      </c>
      <c r="H15" s="70">
        <v>33226</v>
      </c>
      <c r="I15" s="71">
        <v>35888</v>
      </c>
      <c r="J15" s="71">
        <v>37025</v>
      </c>
      <c r="K15" s="71">
        <v>37719</v>
      </c>
      <c r="L15" s="71">
        <f>SUM(L16:L20)</f>
        <v>40318</v>
      </c>
      <c r="M15" s="71">
        <v>42089</v>
      </c>
      <c r="N15" s="71">
        <v>40829</v>
      </c>
      <c r="O15" s="71">
        <v>39670</v>
      </c>
      <c r="P15" s="71">
        <v>38347</v>
      </c>
      <c r="Q15" s="71">
        <v>36627</v>
      </c>
      <c r="R15" s="71">
        <v>34804</v>
      </c>
      <c r="S15" s="71">
        <v>34291</v>
      </c>
      <c r="T15" s="71">
        <v>32882</v>
      </c>
      <c r="U15" s="71">
        <v>22302</v>
      </c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31" customFormat="1" ht="15" customHeight="1">
      <c r="A16" s="31" t="s">
        <v>41</v>
      </c>
      <c r="B16" s="17" t="s">
        <v>43</v>
      </c>
      <c r="C16" s="50" t="s">
        <v>23</v>
      </c>
      <c r="D16" s="109" t="s">
        <v>8</v>
      </c>
      <c r="E16" s="70">
        <v>0</v>
      </c>
      <c r="F16" s="70">
        <v>0</v>
      </c>
      <c r="G16" s="70">
        <v>0</v>
      </c>
      <c r="H16" s="56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1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31" customFormat="1" ht="15" customHeight="1">
      <c r="A17" s="31" t="s">
        <v>41</v>
      </c>
      <c r="B17" s="17" t="s">
        <v>43</v>
      </c>
      <c r="C17" s="50" t="s">
        <v>5</v>
      </c>
      <c r="D17" s="70">
        <v>33313</v>
      </c>
      <c r="E17" s="70">
        <v>31651</v>
      </c>
      <c r="F17" s="70">
        <v>30435</v>
      </c>
      <c r="G17" s="70">
        <v>30227</v>
      </c>
      <c r="H17" s="71">
        <v>30594</v>
      </c>
      <c r="I17" s="71">
        <v>33696</v>
      </c>
      <c r="J17" s="71">
        <v>35218</v>
      </c>
      <c r="K17" s="71">
        <v>36304</v>
      </c>
      <c r="L17" s="71">
        <v>39365</v>
      </c>
      <c r="M17" s="71">
        <v>41398</v>
      </c>
      <c r="N17" s="71">
        <v>40270</v>
      </c>
      <c r="O17" s="71">
        <v>38951</v>
      </c>
      <c r="P17" s="71">
        <v>37722</v>
      </c>
      <c r="Q17" s="70">
        <v>35995</v>
      </c>
      <c r="R17" s="70">
        <v>34252</v>
      </c>
      <c r="S17" s="70">
        <v>33816</v>
      </c>
      <c r="T17" s="70">
        <v>32442</v>
      </c>
      <c r="U17" s="70">
        <v>21987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31" customFormat="1" ht="15" customHeight="1">
      <c r="A18" s="31" t="s">
        <v>41</v>
      </c>
      <c r="B18" s="17" t="s">
        <v>43</v>
      </c>
      <c r="C18" s="50" t="s">
        <v>1</v>
      </c>
      <c r="D18" s="109" t="s">
        <v>8</v>
      </c>
      <c r="E18" s="70">
        <v>312</v>
      </c>
      <c r="F18" s="70">
        <v>85</v>
      </c>
      <c r="G18" s="70">
        <v>120</v>
      </c>
      <c r="H18" s="71">
        <v>123</v>
      </c>
      <c r="I18" s="71">
        <v>83</v>
      </c>
      <c r="J18" s="71">
        <v>94</v>
      </c>
      <c r="K18" s="71">
        <v>85</v>
      </c>
      <c r="L18" s="71">
        <v>66</v>
      </c>
      <c r="M18" s="71">
        <v>68</v>
      </c>
      <c r="N18" s="71">
        <v>62</v>
      </c>
      <c r="O18" s="71">
        <v>0</v>
      </c>
      <c r="P18" s="71">
        <v>0</v>
      </c>
      <c r="Q18" s="70">
        <v>0</v>
      </c>
      <c r="R18" s="70">
        <v>1</v>
      </c>
      <c r="S18" s="70">
        <v>11</v>
      </c>
      <c r="T18" s="70">
        <v>10</v>
      </c>
      <c r="U18" s="70">
        <v>0</v>
      </c>
      <c r="V18" s="28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s="31" customFormat="1" ht="15" customHeight="1">
      <c r="A19" s="31" t="s">
        <v>41</v>
      </c>
      <c r="B19" s="17" t="s">
        <v>43</v>
      </c>
      <c r="C19" s="50" t="s">
        <v>20</v>
      </c>
      <c r="D19" s="109" t="s">
        <v>8</v>
      </c>
      <c r="E19" s="70">
        <v>522</v>
      </c>
      <c r="F19" s="70">
        <v>358</v>
      </c>
      <c r="G19" s="70">
        <v>391</v>
      </c>
      <c r="H19" s="71">
        <v>383</v>
      </c>
      <c r="I19" s="71">
        <v>388</v>
      </c>
      <c r="J19" s="71">
        <v>277</v>
      </c>
      <c r="K19" s="71">
        <v>257</v>
      </c>
      <c r="L19" s="71">
        <v>268</v>
      </c>
      <c r="M19" s="71">
        <v>238</v>
      </c>
      <c r="N19" s="71">
        <v>326</v>
      </c>
      <c r="O19" s="71">
        <v>461</v>
      </c>
      <c r="P19" s="71">
        <v>450</v>
      </c>
      <c r="Q19" s="70">
        <v>441</v>
      </c>
      <c r="R19" s="70">
        <v>412</v>
      </c>
      <c r="S19" s="70">
        <v>392</v>
      </c>
      <c r="T19" s="70">
        <v>358</v>
      </c>
      <c r="U19" s="70">
        <v>316</v>
      </c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31" customFormat="1" ht="15" customHeight="1">
      <c r="A20" s="85" t="s">
        <v>41</v>
      </c>
      <c r="B20" s="85" t="s">
        <v>43</v>
      </c>
      <c r="C20" s="97" t="s">
        <v>21</v>
      </c>
      <c r="D20" s="110" t="s">
        <v>8</v>
      </c>
      <c r="E20" s="72">
        <v>961</v>
      </c>
      <c r="F20" s="72">
        <v>950</v>
      </c>
      <c r="G20" s="72">
        <v>898</v>
      </c>
      <c r="H20" s="72">
        <v>2126</v>
      </c>
      <c r="I20" s="72">
        <v>1721</v>
      </c>
      <c r="J20" s="72">
        <v>1436</v>
      </c>
      <c r="K20" s="72">
        <v>1073</v>
      </c>
      <c r="L20" s="72">
        <v>619</v>
      </c>
      <c r="M20" s="72">
        <v>385</v>
      </c>
      <c r="N20" s="72">
        <v>171</v>
      </c>
      <c r="O20" s="72">
        <v>258</v>
      </c>
      <c r="P20" s="72">
        <v>175</v>
      </c>
      <c r="Q20" s="72">
        <v>191</v>
      </c>
      <c r="R20" s="72">
        <v>139</v>
      </c>
      <c r="S20" s="72">
        <v>72</v>
      </c>
      <c r="T20" s="72">
        <v>72</v>
      </c>
      <c r="U20" s="72">
        <v>0</v>
      </c>
      <c r="V20" s="16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s="31" customFormat="1" ht="15" customHeight="1">
      <c r="A21" s="31" t="s">
        <v>41</v>
      </c>
      <c r="B21" s="17" t="s">
        <v>44</v>
      </c>
      <c r="C21" s="50" t="s">
        <v>46</v>
      </c>
      <c r="D21" s="109" t="s">
        <v>8</v>
      </c>
      <c r="E21" s="70">
        <v>27961</v>
      </c>
      <c r="F21" s="70">
        <v>27247</v>
      </c>
      <c r="G21" s="70">
        <v>28202</v>
      </c>
      <c r="H21" s="71">
        <v>29034</v>
      </c>
      <c r="I21" s="71">
        <v>29272</v>
      </c>
      <c r="J21" s="71">
        <v>30455</v>
      </c>
      <c r="K21" s="71">
        <v>28663</v>
      </c>
      <c r="L21" s="71">
        <f>SUM(L22:L26)</f>
        <v>28282</v>
      </c>
      <c r="M21" s="71">
        <v>28358</v>
      </c>
      <c r="N21" s="71">
        <v>29019</v>
      </c>
      <c r="O21" s="71">
        <f>SUM(O22:O26)</f>
        <v>26857</v>
      </c>
      <c r="P21" s="71">
        <v>25959</v>
      </c>
      <c r="Q21" s="71">
        <v>24176</v>
      </c>
      <c r="R21" s="71">
        <f>SUM(R22:R26)</f>
        <v>22602</v>
      </c>
      <c r="S21" s="71">
        <v>22099</v>
      </c>
      <c r="T21" s="71">
        <v>21298</v>
      </c>
      <c r="U21" s="71">
        <v>14262</v>
      </c>
      <c r="V21" s="16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s="31" customFormat="1" ht="15" customHeight="1">
      <c r="A22" s="31" t="s">
        <v>41</v>
      </c>
      <c r="B22" s="17" t="s">
        <v>44</v>
      </c>
      <c r="C22" s="50" t="s">
        <v>23</v>
      </c>
      <c r="D22" s="109" t="s">
        <v>8</v>
      </c>
      <c r="E22" s="70">
        <v>117</v>
      </c>
      <c r="F22" s="70">
        <v>127</v>
      </c>
      <c r="G22" s="70">
        <v>136</v>
      </c>
      <c r="H22" s="71">
        <v>183</v>
      </c>
      <c r="I22" s="71">
        <v>198</v>
      </c>
      <c r="J22" s="71">
        <v>223</v>
      </c>
      <c r="K22" s="71">
        <v>242</v>
      </c>
      <c r="L22" s="71">
        <v>230</v>
      </c>
      <c r="M22" s="71">
        <v>219</v>
      </c>
      <c r="N22" s="71">
        <v>244</v>
      </c>
      <c r="O22" s="71">
        <v>240</v>
      </c>
      <c r="P22" s="71">
        <v>229</v>
      </c>
      <c r="Q22" s="71">
        <v>179</v>
      </c>
      <c r="R22" s="71">
        <v>197</v>
      </c>
      <c r="S22" s="71">
        <v>182</v>
      </c>
      <c r="T22" s="71">
        <v>168</v>
      </c>
      <c r="U22" s="71">
        <v>303</v>
      </c>
      <c r="V22" s="16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31" customFormat="1" ht="15" customHeight="1">
      <c r="A23" s="31" t="s">
        <v>41</v>
      </c>
      <c r="B23" s="17" t="s">
        <v>44</v>
      </c>
      <c r="C23" s="50" t="s">
        <v>5</v>
      </c>
      <c r="D23" s="70">
        <v>5746</v>
      </c>
      <c r="E23" s="70">
        <v>5955</v>
      </c>
      <c r="F23" s="70">
        <v>5659</v>
      </c>
      <c r="G23" s="70">
        <v>6146</v>
      </c>
      <c r="H23" s="71">
        <v>5837</v>
      </c>
      <c r="I23" s="71">
        <v>5779</v>
      </c>
      <c r="J23" s="71">
        <v>6472</v>
      </c>
      <c r="K23" s="71">
        <v>6508</v>
      </c>
      <c r="L23" s="71">
        <v>6861</v>
      </c>
      <c r="M23" s="71">
        <v>7310</v>
      </c>
      <c r="N23" s="71">
        <v>7395</v>
      </c>
      <c r="O23" s="71">
        <v>8702</v>
      </c>
      <c r="P23" s="71">
        <v>8859</v>
      </c>
      <c r="Q23" s="70">
        <v>8130</v>
      </c>
      <c r="R23" s="70">
        <v>7557</v>
      </c>
      <c r="S23" s="70">
        <v>7650</v>
      </c>
      <c r="T23" s="70">
        <v>7808</v>
      </c>
      <c r="U23" s="70">
        <v>5991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s="31" customFormat="1" ht="15" customHeight="1">
      <c r="A24" s="31" t="s">
        <v>41</v>
      </c>
      <c r="B24" s="17" t="s">
        <v>44</v>
      </c>
      <c r="C24" s="50" t="s">
        <v>10</v>
      </c>
      <c r="D24" s="109" t="s">
        <v>8</v>
      </c>
      <c r="E24" s="70">
        <v>6010</v>
      </c>
      <c r="F24" s="70">
        <v>5455</v>
      </c>
      <c r="G24" s="70">
        <v>5630</v>
      </c>
      <c r="H24" s="71">
        <v>6066</v>
      </c>
      <c r="I24" s="71">
        <v>6220</v>
      </c>
      <c r="J24" s="71">
        <v>6519</v>
      </c>
      <c r="K24" s="71">
        <v>5427</v>
      </c>
      <c r="L24" s="71">
        <v>5306</v>
      </c>
      <c r="M24" s="71">
        <v>5592</v>
      </c>
      <c r="N24" s="71">
        <v>6354</v>
      </c>
      <c r="O24" s="71">
        <v>4408</v>
      </c>
      <c r="P24" s="71">
        <v>4061</v>
      </c>
      <c r="Q24" s="70">
        <v>3730</v>
      </c>
      <c r="R24" s="70">
        <v>3379</v>
      </c>
      <c r="S24" s="70">
        <v>3038</v>
      </c>
      <c r="T24" s="70">
        <v>2743</v>
      </c>
      <c r="U24" s="70">
        <v>830</v>
      </c>
      <c r="V24" s="2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s="31" customFormat="1" ht="15" customHeight="1">
      <c r="A25" s="31" t="s">
        <v>41</v>
      </c>
      <c r="B25" s="17" t="s">
        <v>44</v>
      </c>
      <c r="C25" s="50" t="s">
        <v>20</v>
      </c>
      <c r="D25" s="109" t="s">
        <v>8</v>
      </c>
      <c r="E25" s="70">
        <v>12893</v>
      </c>
      <c r="F25" s="70">
        <v>12993</v>
      </c>
      <c r="G25" s="70">
        <v>13305</v>
      </c>
      <c r="H25" s="71">
        <v>14046</v>
      </c>
      <c r="I25" s="71">
        <v>14237</v>
      </c>
      <c r="J25" s="71">
        <v>14456</v>
      </c>
      <c r="K25" s="71">
        <v>13760</v>
      </c>
      <c r="L25" s="71">
        <v>13569</v>
      </c>
      <c r="M25" s="71">
        <v>12963</v>
      </c>
      <c r="N25" s="71">
        <v>12781</v>
      </c>
      <c r="O25" s="71">
        <v>11337</v>
      </c>
      <c r="P25" s="71">
        <v>10656</v>
      </c>
      <c r="Q25" s="70">
        <v>10021</v>
      </c>
      <c r="R25" s="70">
        <v>9361</v>
      </c>
      <c r="S25" s="70">
        <v>9127</v>
      </c>
      <c r="T25" s="70">
        <v>8484</v>
      </c>
      <c r="U25" s="70">
        <v>5061</v>
      </c>
      <c r="V25" s="1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s="31" customFormat="1" ht="15" customHeight="1">
      <c r="A26" s="83" t="s">
        <v>41</v>
      </c>
      <c r="B26" s="83" t="s">
        <v>44</v>
      </c>
      <c r="C26" s="94" t="s">
        <v>21</v>
      </c>
      <c r="D26" s="110" t="s">
        <v>8</v>
      </c>
      <c r="E26" s="72">
        <v>2983</v>
      </c>
      <c r="F26" s="72">
        <v>3013</v>
      </c>
      <c r="G26" s="72">
        <v>2985</v>
      </c>
      <c r="H26" s="72">
        <v>2902</v>
      </c>
      <c r="I26" s="72">
        <v>2838</v>
      </c>
      <c r="J26" s="72">
        <v>2785</v>
      </c>
      <c r="K26" s="72">
        <v>2726</v>
      </c>
      <c r="L26" s="72">
        <v>2316</v>
      </c>
      <c r="M26" s="72">
        <v>2274</v>
      </c>
      <c r="N26" s="72">
        <v>2245</v>
      </c>
      <c r="O26" s="72">
        <v>2170</v>
      </c>
      <c r="P26" s="72">
        <v>2153</v>
      </c>
      <c r="Q26" s="72">
        <v>2117</v>
      </c>
      <c r="R26" s="72">
        <v>2108</v>
      </c>
      <c r="S26" s="72">
        <v>2100</v>
      </c>
      <c r="T26" s="72">
        <v>2095</v>
      </c>
      <c r="U26" s="72">
        <v>2077</v>
      </c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30" s="47" customFormat="1" ht="15" customHeight="1">
      <c r="A27" s="116" t="s">
        <v>56</v>
      </c>
      <c r="B27" s="117"/>
      <c r="C27" s="117"/>
      <c r="D27" s="117"/>
      <c r="E27" s="117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T27" s="74"/>
      <c r="U27" s="74"/>
      <c r="V27" s="44"/>
      <c r="W27" s="44"/>
      <c r="X27" s="45"/>
      <c r="Y27" s="44"/>
      <c r="Z27" s="44"/>
      <c r="AA27" s="46"/>
      <c r="AB27" s="44"/>
      <c r="AC27" s="44"/>
      <c r="AD27" s="44"/>
    </row>
    <row r="28" spans="1:21" s="48" customFormat="1" ht="15" customHeight="1">
      <c r="A28" s="115" t="s">
        <v>7</v>
      </c>
      <c r="B28" s="115"/>
      <c r="C28" s="115"/>
      <c r="D28" s="115"/>
      <c r="E28" s="11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T28" s="75"/>
      <c r="U28" s="75"/>
    </row>
    <row r="29" spans="1:41" s="49" customFormat="1" ht="15" customHeight="1">
      <c r="A29" s="49" t="s">
        <v>11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7"/>
      <c r="P29" s="78"/>
      <c r="Q29" s="79"/>
      <c r="T29" s="79"/>
      <c r="U29" s="75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1:19" ht="12.75">
      <c r="A30" s="49" t="s">
        <v>19</v>
      </c>
      <c r="B30" s="49"/>
      <c r="C30" s="76"/>
      <c r="D30" s="76"/>
      <c r="E30" s="42"/>
      <c r="O30" s="80"/>
      <c r="Q30" s="42"/>
      <c r="R30" s="29"/>
      <c r="S30" s="29"/>
    </row>
    <row r="31" spans="1:41" s="49" customFormat="1" ht="12" customHeight="1">
      <c r="A31" s="48" t="s">
        <v>54</v>
      </c>
      <c r="B31" s="48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75"/>
      <c r="P31" s="75"/>
      <c r="Q31" s="75"/>
      <c r="T31" s="75"/>
      <c r="U31" s="75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3:21" s="10" customFormat="1" ht="12" customHeight="1">
      <c r="C32" s="13"/>
      <c r="D32" s="13"/>
      <c r="E32" s="13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  <c r="R32" s="70"/>
      <c r="S32" s="70"/>
      <c r="T32" s="70"/>
      <c r="U32" s="70"/>
    </row>
    <row r="33" ht="12.75">
      <c r="U33" s="81"/>
    </row>
  </sheetData>
  <mergeCells count="3">
    <mergeCell ref="A4:I4"/>
    <mergeCell ref="A27:E27"/>
    <mergeCell ref="A28:E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dcterms:created xsi:type="dcterms:W3CDTF">2004-10-01T11:02:29Z</dcterms:created>
  <dcterms:modified xsi:type="dcterms:W3CDTF">2017-09-27T13:02:29Z</dcterms:modified>
  <cp:category/>
  <cp:version/>
  <cp:contentType/>
  <cp:contentStatus/>
</cp:coreProperties>
</file>